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D:\PROJECT 2018\IOM\KISIMAYO AND BAIDOA ASSESSMENT\Baidoa\BAIDOA WTC MASONRY\"/>
    </mc:Choice>
  </mc:AlternateContent>
  <bookViews>
    <workbookView xWindow="0" yWindow="0" windowWidth="23040" windowHeight="9084" tabRatio="599"/>
  </bookViews>
  <sheets>
    <sheet name="1 Preliminaries " sheetId="1" r:id="rId1"/>
    <sheet name="2 Office Block" sheetId="27" r:id="rId2"/>
    <sheet name="3 Kitchen, Dining BLock" sheetId="28" r:id="rId3"/>
    <sheet name="4 security House" sheetId="29" r:id="rId4"/>
    <sheet name="5 Toilet Block" sheetId="30" r:id="rId5"/>
    <sheet name="6 WATER TANK" sheetId="25" r:id="rId6"/>
    <sheet name="7 Security Fences" sheetId="11" r:id="rId7"/>
    <sheet name="8 Guard Towers" sheetId="9" r:id="rId8"/>
    <sheet name="9 Street Lights" sheetId="10" r:id="rId9"/>
    <sheet name="10 Septic Tank" sheetId="5" r:id="rId10"/>
    <sheet name="11 External Works" sheetId="31" r:id="rId11"/>
    <sheet name="12 Accommodation" sheetId="32" r:id="rId12"/>
    <sheet name="Summary" sheetId="13" r:id="rId13"/>
  </sheets>
  <definedNames>
    <definedName name="Excel_BuiltIn__FilterDatabase_4" localSheetId="0">#REF!</definedName>
    <definedName name="Excel_BuiltIn__FilterDatabase_4" localSheetId="10">#REF!</definedName>
    <definedName name="Excel_BuiltIn__FilterDatabase_4" localSheetId="2">#REF!</definedName>
    <definedName name="Excel_BuiltIn__FilterDatabase_4" localSheetId="3">#REF!</definedName>
    <definedName name="Excel_BuiltIn__FilterDatabase_4" localSheetId="4">#REF!</definedName>
    <definedName name="Excel_BuiltIn__FilterDatabase_4">#REF!</definedName>
    <definedName name="Excel_BuiltIn__FilterDatabase_5" localSheetId="0">#REF!</definedName>
    <definedName name="Excel_BuiltIn__FilterDatabase_5" localSheetId="10">#REF!</definedName>
    <definedName name="Excel_BuiltIn__FilterDatabase_5" localSheetId="2">#REF!</definedName>
    <definedName name="Excel_BuiltIn__FilterDatabase_5" localSheetId="3">#REF!</definedName>
    <definedName name="Excel_BuiltIn__FilterDatabase_5" localSheetId="4">#REF!</definedName>
    <definedName name="Excel_BuiltIn__FilterDatabase_5">#REF!</definedName>
    <definedName name="Excel_BuiltIn_Print_Area_3" localSheetId="0">#REF!</definedName>
    <definedName name="Excel_BuiltIn_Print_Area_3" localSheetId="10">#REF!</definedName>
    <definedName name="Excel_BuiltIn_Print_Area_3" localSheetId="2">#REF!</definedName>
    <definedName name="Excel_BuiltIn_Print_Area_3" localSheetId="3">#REF!</definedName>
    <definedName name="Excel_BuiltIn_Print_Area_3" localSheetId="4">#REF!</definedName>
    <definedName name="Excel_BuiltIn_Print_Area_3">#REF!</definedName>
    <definedName name="Excel_BuiltIn_Print_Area_4" localSheetId="0">#REF!</definedName>
    <definedName name="Excel_BuiltIn_Print_Area_4" localSheetId="10">#REF!</definedName>
    <definedName name="Excel_BuiltIn_Print_Area_4" localSheetId="2">#REF!</definedName>
    <definedName name="Excel_BuiltIn_Print_Area_4" localSheetId="3">#REF!</definedName>
    <definedName name="Excel_BuiltIn_Print_Area_4" localSheetId="4">#REF!</definedName>
    <definedName name="Excel_BuiltIn_Print_Area_4">#REF!</definedName>
    <definedName name="Excel_BuiltIn_Print_Area_5" localSheetId="0">#REF!</definedName>
    <definedName name="Excel_BuiltIn_Print_Area_5" localSheetId="10">#REF!</definedName>
    <definedName name="Excel_BuiltIn_Print_Area_5" localSheetId="2">#REF!</definedName>
    <definedName name="Excel_BuiltIn_Print_Area_5" localSheetId="3">#REF!</definedName>
    <definedName name="Excel_BuiltIn_Print_Area_5" localSheetId="4">#REF!</definedName>
    <definedName name="Excel_BuiltIn_Print_Area_5">#REF!</definedName>
    <definedName name="Excel_BuiltIn_Print_Titles_4" localSheetId="0">#REF!</definedName>
    <definedName name="Excel_BuiltIn_Print_Titles_4" localSheetId="10">#REF!</definedName>
    <definedName name="Excel_BuiltIn_Print_Titles_4" localSheetId="2">#REF!</definedName>
    <definedName name="Excel_BuiltIn_Print_Titles_4" localSheetId="3">#REF!</definedName>
    <definedName name="Excel_BuiltIn_Print_Titles_4" localSheetId="4">#REF!</definedName>
    <definedName name="Excel_BuiltIn_Print_Titles_4">#REF!</definedName>
    <definedName name="Excel_BuiltIn_Print_Titles_5" localSheetId="0">#REF!</definedName>
    <definedName name="Excel_BuiltIn_Print_Titles_5" localSheetId="10">#REF!</definedName>
    <definedName name="Excel_BuiltIn_Print_Titles_5" localSheetId="2">#REF!</definedName>
    <definedName name="Excel_BuiltIn_Print_Titles_5" localSheetId="3">#REF!</definedName>
    <definedName name="Excel_BuiltIn_Print_Titles_5" localSheetId="4">#REF!</definedName>
    <definedName name="Excel_BuiltIn_Print_Titles_5">#REF!</definedName>
    <definedName name="_xlnm.Print_Area" localSheetId="0">'1 Preliminaries '!$A$1:$C$116</definedName>
    <definedName name="_xlnm.Print_Area" localSheetId="10">'11 External Works'!$A$1:$F$41</definedName>
    <definedName name="_xlnm.Print_Area" localSheetId="11">'12 Accommodation'!$A$1:$F$199</definedName>
    <definedName name="_xlnm.Print_Area" localSheetId="1">'2 Office Block'!$A$1:$F$207</definedName>
    <definedName name="_xlnm.Print_Area" localSheetId="2">'3 Kitchen, Dining BLock'!$A$1:$F$221</definedName>
    <definedName name="_xlnm.Print_Area" localSheetId="3">'4 security House'!$A$1:$F$144</definedName>
    <definedName name="_xlnm.Print_Area" localSheetId="4">'5 Toilet Block'!$A$1:$F$187</definedName>
    <definedName name="_xlnm.Print_Area" localSheetId="5">'6 WATER TANK'!$A$1:$F$114</definedName>
    <definedName name="_xlnm.Print_Area" localSheetId="6">'7 Security Fences'!$A$1:$F$116</definedName>
    <definedName name="_xlnm.Print_Area" localSheetId="7">'8 Guard Towers'!$A$1:$F$110</definedName>
    <definedName name="_xlnm.Print_Area" localSheetId="8">'9 Street Lights'!$A$1:$F$16</definedName>
    <definedName name="_xlnm.Print_Area" localSheetId="12">Summary!$A$1:$C$66</definedName>
    <definedName name="Z_1E933494_4ABB_4290_95BF_88ADDB331983_.wvu.PrintArea" localSheetId="0" hidden="1">'1 Preliminaries '!$A$4:$E$470</definedName>
    <definedName name="Z_1E933494_4ABB_4290_95BF_88ADDB331983_.wvu.PrintArea" localSheetId="9" hidden="1">'10 Septic Tank'!$A$1:$F$66</definedName>
    <definedName name="Z_1E933494_4ABB_4290_95BF_88ADDB331983_.wvu.PrintArea" localSheetId="10" hidden="1">'11 External Works'!$A$1:$F$6</definedName>
    <definedName name="Z_1E933494_4ABB_4290_95BF_88ADDB331983_.wvu.PrintArea" localSheetId="1" hidden="1">'2 Office Block'!$A$1:$F$207</definedName>
    <definedName name="Z_1E933494_4ABB_4290_95BF_88ADDB331983_.wvu.PrintArea" localSheetId="2" hidden="1">'3 Kitchen, Dining BLock'!$A$1:$F$221</definedName>
    <definedName name="Z_1E933494_4ABB_4290_95BF_88ADDB331983_.wvu.PrintArea" localSheetId="3" hidden="1">'4 security House'!$A$1:$F$136</definedName>
    <definedName name="Z_1E933494_4ABB_4290_95BF_88ADDB331983_.wvu.PrintArea" localSheetId="4" hidden="1">'5 Toilet Block'!$A$1:$F$118</definedName>
    <definedName name="Z_1E933494_4ABB_4290_95BF_88ADDB331983_.wvu.PrintArea" localSheetId="6" hidden="1">'7 Security Fences'!$A$1:$F$42</definedName>
    <definedName name="Z_1E933494_4ABB_4290_95BF_88ADDB331983_.wvu.PrintArea" localSheetId="7" hidden="1">'8 Guard Towers'!$A$1:$F$110</definedName>
    <definedName name="Z_1E933494_4ABB_4290_95BF_88ADDB331983_.wvu.PrintArea" localSheetId="8" hidden="1">'9 Street Lights'!$A$1:$F$14</definedName>
    <definedName name="Z_1E933494_4ABB_4290_95BF_88ADDB331983_.wvu.PrintArea" localSheetId="12" hidden="1">Summary!$A$1:$C$66</definedName>
    <definedName name="Z_58A41188_4CB9_4607_A927_9B98665919B2_.wvu.PrintArea" localSheetId="10" hidden="1">'11 External Works'!$A$1:$F$6</definedName>
    <definedName name="Z_58A41188_4CB9_4607_A927_9B98665919B2_.wvu.PrintArea" localSheetId="1" hidden="1">'2 Office Block'!$A$1:$F$207</definedName>
    <definedName name="Z_58A41188_4CB9_4607_A927_9B98665919B2_.wvu.PrintArea" localSheetId="2" hidden="1">'3 Kitchen, Dining BLock'!$A$1:$F$221</definedName>
    <definedName name="Z_58A41188_4CB9_4607_A927_9B98665919B2_.wvu.PrintArea" localSheetId="3" hidden="1">'4 security House'!$A$1:$F$136</definedName>
    <definedName name="Z_58A41188_4CB9_4607_A927_9B98665919B2_.wvu.PrintArea" localSheetId="4" hidden="1">'5 Toilet Block'!$A$1:$F$118</definedName>
    <definedName name="Z_58A41188_4CB9_4607_A927_9B98665919B2_.wvu.PrintArea" localSheetId="6" hidden="1">'7 Security Fences'!$A$1:$F$42</definedName>
    <definedName name="Z_58A41188_4CB9_4607_A927_9B98665919B2_.wvu.PrintArea" localSheetId="7" hidden="1">'8 Guard Towers'!$A$1:$F$54</definedName>
    <definedName name="Z_58A41188_4CB9_4607_A927_9B98665919B2_.wvu.PrintArea" localSheetId="8" hidden="1">'9 Street Lights'!$A$1:$F$14</definedName>
    <definedName name="Z_58A41188_4CB9_4607_A927_9B98665919B2_.wvu.PrintArea" localSheetId="12" hidden="1">Summary!$A$1:$C$66</definedName>
  </definedNames>
  <calcPr calcId="152511"/>
  <customWorkbookViews>
    <customWorkbookView name="Joshua Mokaya - Personal View" guid="{58A41188-4CB9-4607-A927-9B98665919B2}" mergeInterval="0" personalView="1" xWindow="5" windowWidth="795" windowHeight="860" tabRatio="599" activeSheetId="27"/>
    <customWorkbookView name="MUTULILI Jane - Personal View" guid="{1E933494-4ABB-4290-95BF-88ADDB331983}" mergeInterval="0" personalView="1" maximized="1" xWindow="-9" yWindow="-9" windowWidth="1938" windowHeight="1048" tabRatio="599" activeSheetId="6"/>
  </customWorkbookViews>
</workbook>
</file>

<file path=xl/calcChain.xml><?xml version="1.0" encoding="utf-8"?>
<calcChain xmlns="http://schemas.openxmlformats.org/spreadsheetml/2006/main">
  <c r="D61" i="32" l="1"/>
  <c r="F61" i="32" s="1"/>
  <c r="D62" i="32"/>
  <c r="D59" i="32"/>
  <c r="D58" i="32"/>
  <c r="D46" i="27"/>
  <c r="F46" i="27" s="1"/>
  <c r="D41" i="28"/>
  <c r="F41" i="28" s="1"/>
  <c r="D43" i="32"/>
  <c r="F43" i="32" s="1"/>
  <c r="D42" i="32"/>
  <c r="F42" i="32" s="1"/>
  <c r="D48" i="32"/>
  <c r="D46" i="32"/>
  <c r="D47" i="32"/>
  <c r="F48" i="32"/>
  <c r="D31" i="32"/>
  <c r="D30" i="32"/>
  <c r="D25" i="32"/>
  <c r="D24" i="32"/>
  <c r="F24" i="32" s="1"/>
  <c r="D23" i="32"/>
  <c r="D11" i="32"/>
  <c r="D25" i="27"/>
  <c r="F25" i="27" s="1"/>
  <c r="D24" i="28"/>
  <c r="F24" i="28" s="1"/>
  <c r="D36" i="29"/>
  <c r="F36" i="29" s="1"/>
  <c r="D37" i="29"/>
  <c r="D35" i="29"/>
  <c r="D10" i="29"/>
  <c r="F10" i="29" s="1"/>
  <c r="D29" i="29"/>
  <c r="D9" i="29"/>
  <c r="D50" i="27"/>
  <c r="F45" i="27"/>
  <c r="D47" i="28"/>
  <c r="D40" i="28"/>
  <c r="F40" i="28" s="1"/>
  <c r="D61" i="28"/>
  <c r="D60" i="28"/>
  <c r="F60" i="28" s="1"/>
  <c r="D58" i="28"/>
  <c r="D57" i="28"/>
  <c r="D50" i="28"/>
  <c r="F48" i="28"/>
  <c r="F51" i="27"/>
  <c r="D39" i="28"/>
  <c r="D31" i="28"/>
  <c r="D30" i="28"/>
  <c r="D25" i="28"/>
  <c r="D23" i="28"/>
  <c r="D12" i="27"/>
  <c r="D12" i="28"/>
  <c r="D11" i="28"/>
  <c r="D11" i="27"/>
  <c r="D63" i="27"/>
  <c r="D60" i="27"/>
  <c r="D53" i="27"/>
  <c r="D32" i="27"/>
  <c r="D31" i="27"/>
  <c r="D26" i="27"/>
  <c r="D24" i="27"/>
  <c r="B206" i="28" l="1"/>
  <c r="B205" i="28"/>
  <c r="B204" i="28"/>
  <c r="B203" i="28"/>
  <c r="B202" i="28"/>
  <c r="B201" i="28"/>
  <c r="B200" i="28"/>
  <c r="B199" i="28"/>
  <c r="B198" i="28"/>
  <c r="B197" i="28"/>
  <c r="B196" i="28"/>
  <c r="D117" i="28"/>
  <c r="F117" i="28" s="1"/>
  <c r="D115" i="28"/>
  <c r="D130" i="28" s="1"/>
  <c r="F130" i="28" s="1"/>
  <c r="F121" i="28"/>
  <c r="F61" i="28"/>
  <c r="F39" i="28"/>
  <c r="F58" i="28"/>
  <c r="F57" i="28"/>
  <c r="F50" i="28"/>
  <c r="F47" i="28"/>
  <c r="G46" i="28"/>
  <c r="F46" i="28"/>
  <c r="H39" i="28"/>
  <c r="F31" i="28"/>
  <c r="F30" i="28"/>
  <c r="F25" i="28"/>
  <c r="F23" i="28"/>
  <c r="B187" i="32"/>
  <c r="B186" i="32"/>
  <c r="B185" i="32"/>
  <c r="B184" i="32"/>
  <c r="B183" i="32"/>
  <c r="B182" i="32"/>
  <c r="B181" i="32"/>
  <c r="B180" i="32"/>
  <c r="B179" i="32"/>
  <c r="D116" i="32"/>
  <c r="F116" i="32" s="1"/>
  <c r="D115" i="32"/>
  <c r="D129" i="32" s="1"/>
  <c r="F129" i="32" s="1"/>
  <c r="F120" i="32"/>
  <c r="D41" i="32"/>
  <c r="F41" i="32" s="1"/>
  <c r="F30" i="32"/>
  <c r="F62" i="32"/>
  <c r="F59" i="32"/>
  <c r="F58" i="32"/>
  <c r="F50" i="32"/>
  <c r="F47" i="32"/>
  <c r="G46" i="32"/>
  <c r="F46" i="32"/>
  <c r="H41" i="32"/>
  <c r="F25" i="32"/>
  <c r="F23" i="32"/>
  <c r="F21" i="32"/>
  <c r="B203" i="27"/>
  <c r="B205" i="27"/>
  <c r="B204" i="27"/>
  <c r="B202" i="27"/>
  <c r="B201" i="27"/>
  <c r="B200" i="27"/>
  <c r="B199" i="27"/>
  <c r="B198" i="27"/>
  <c r="B197" i="27"/>
  <c r="B196" i="27"/>
  <c r="B195" i="27"/>
  <c r="D127" i="27"/>
  <c r="F127" i="27" s="1"/>
  <c r="D61" i="27"/>
  <c r="F61" i="27" s="1"/>
  <c r="F60" i="27"/>
  <c r="F53" i="27"/>
  <c r="G49" i="27"/>
  <c r="F49" i="27"/>
  <c r="D44" i="27"/>
  <c r="F31" i="27"/>
  <c r="H30" i="27"/>
  <c r="F50" i="27"/>
  <c r="H44" i="27"/>
  <c r="F26" i="27"/>
  <c r="F24" i="27"/>
  <c r="F51" i="28" l="1"/>
  <c r="F197" i="28" s="1"/>
  <c r="F115" i="28"/>
  <c r="D133" i="28"/>
  <c r="F133" i="28" s="1"/>
  <c r="F64" i="28"/>
  <c r="F198" i="28" s="1"/>
  <c r="F51" i="32"/>
  <c r="F180" i="32" s="1"/>
  <c r="F115" i="32"/>
  <c r="F63" i="32"/>
  <c r="F181" i="32" s="1"/>
  <c r="D132" i="32"/>
  <c r="F132" i="32" s="1"/>
  <c r="F31" i="32"/>
  <c r="D120" i="27"/>
  <c r="D131" i="27" s="1"/>
  <c r="D122" i="27"/>
  <c r="F44" i="27"/>
  <c r="F54" i="27" s="1"/>
  <c r="F196" i="27" s="1"/>
  <c r="F32" i="27"/>
  <c r="F120" i="27" l="1"/>
  <c r="F131" i="27"/>
  <c r="D134" i="27"/>
  <c r="F134" i="27" s="1"/>
  <c r="F122" i="27"/>
  <c r="B16" i="13" l="1"/>
  <c r="F135" i="32" l="1"/>
  <c r="F134" i="32"/>
  <c r="D102" i="32"/>
  <c r="F102" i="32" s="1"/>
  <c r="D96" i="32"/>
  <c r="D97" i="32" s="1"/>
  <c r="F95" i="32"/>
  <c r="D84" i="32"/>
  <c r="F84" i="32" s="1"/>
  <c r="D77" i="32"/>
  <c r="D80" i="32" s="1"/>
  <c r="D82" i="32" s="1"/>
  <c r="F82" i="32" s="1"/>
  <c r="G76" i="32"/>
  <c r="G69" i="32"/>
  <c r="G70" i="32"/>
  <c r="G71" i="32"/>
  <c r="G72" i="32"/>
  <c r="G73" i="32"/>
  <c r="G68" i="32"/>
  <c r="D67" i="32"/>
  <c r="F67" i="32" s="1"/>
  <c r="F11" i="32"/>
  <c r="D10" i="32"/>
  <c r="F10" i="32" s="1"/>
  <c r="D8" i="32"/>
  <c r="D9" i="32" s="1"/>
  <c r="D13" i="32" s="1"/>
  <c r="B2" i="32"/>
  <c r="F172" i="32"/>
  <c r="F171" i="32"/>
  <c r="F170" i="32"/>
  <c r="F165" i="32"/>
  <c r="D164" i="32"/>
  <c r="D167" i="32" s="1"/>
  <c r="F167" i="32" s="1"/>
  <c r="D161" i="32"/>
  <c r="F161" i="32" s="1"/>
  <c r="D158" i="32"/>
  <c r="F158" i="32" s="1"/>
  <c r="D157" i="32"/>
  <c r="F157" i="32" s="1"/>
  <c r="F153" i="32"/>
  <c r="F152" i="32"/>
  <c r="F151" i="32"/>
  <c r="F150" i="32"/>
  <c r="F149" i="32"/>
  <c r="F148" i="32"/>
  <c r="F147" i="32"/>
  <c r="F146" i="32"/>
  <c r="F145" i="32"/>
  <c r="D144" i="32"/>
  <c r="F144" i="32" s="1"/>
  <c r="F143" i="32"/>
  <c r="F142" i="32"/>
  <c r="F141" i="32"/>
  <c r="F140" i="32"/>
  <c r="F109" i="32"/>
  <c r="F110" i="32" s="1"/>
  <c r="F184" i="32" s="1"/>
  <c r="F105" i="32"/>
  <c r="F101" i="32"/>
  <c r="F94" i="32"/>
  <c r="F93" i="32"/>
  <c r="D86" i="32"/>
  <c r="F86" i="32" s="1"/>
  <c r="F85" i="32"/>
  <c r="F76" i="32"/>
  <c r="F73" i="32"/>
  <c r="F72" i="32"/>
  <c r="F71" i="32"/>
  <c r="F70" i="32"/>
  <c r="F69" i="32"/>
  <c r="F68" i="32"/>
  <c r="F28" i="32"/>
  <c r="F20" i="32"/>
  <c r="F19" i="32"/>
  <c r="F17" i="32"/>
  <c r="F15" i="32"/>
  <c r="H11" i="32"/>
  <c r="F154" i="32" l="1"/>
  <c r="F186" i="32" s="1"/>
  <c r="F8" i="32"/>
  <c r="F77" i="32"/>
  <c r="F80" i="32"/>
  <c r="F96" i="32"/>
  <c r="D103" i="32"/>
  <c r="F103" i="32" s="1"/>
  <c r="F9" i="32"/>
  <c r="D98" i="32"/>
  <c r="F98" i="32" s="1"/>
  <c r="F97" i="32"/>
  <c r="D14" i="32"/>
  <c r="F13" i="32"/>
  <c r="D159" i="32"/>
  <c r="D79" i="32"/>
  <c r="F79" i="32" s="1"/>
  <c r="D89" i="32"/>
  <c r="F164" i="32"/>
  <c r="B2" i="9"/>
  <c r="D8" i="9"/>
  <c r="F8" i="9" s="1"/>
  <c r="D10" i="9"/>
  <c r="F10" i="9" s="1"/>
  <c r="F11" i="9"/>
  <c r="F18" i="9"/>
  <c r="F20" i="9"/>
  <c r="F22" i="9"/>
  <c r="F24" i="9"/>
  <c r="D28" i="9"/>
  <c r="F28" i="9" s="1"/>
  <c r="D32" i="9"/>
  <c r="F32" i="9" s="1"/>
  <c r="D34" i="9"/>
  <c r="F34" i="9" s="1"/>
  <c r="D35" i="9"/>
  <c r="F35" i="9" s="1"/>
  <c r="D36" i="9"/>
  <c r="F36" i="9" s="1"/>
  <c r="D37" i="9"/>
  <c r="F37" i="9" s="1"/>
  <c r="D38" i="9"/>
  <c r="F38" i="9" s="1"/>
  <c r="F49" i="9"/>
  <c r="F50" i="9"/>
  <c r="F57" i="9"/>
  <c r="F61" i="9"/>
  <c r="C65" i="9"/>
  <c r="D65" i="9"/>
  <c r="F65" i="9" s="1"/>
  <c r="F69" i="9"/>
  <c r="F76" i="9"/>
  <c r="F78" i="9" s="1"/>
  <c r="F102" i="9" s="1"/>
  <c r="F85" i="9"/>
  <c r="F87" i="9" s="1"/>
  <c r="F104" i="9" s="1"/>
  <c r="F106" i="32" l="1"/>
  <c r="F183" i="32" s="1"/>
  <c r="F14" i="32"/>
  <c r="D16" i="32"/>
  <c r="D90" i="32"/>
  <c r="F90" i="32" s="1"/>
  <c r="F89" i="32"/>
  <c r="D160" i="32"/>
  <c r="F159" i="32"/>
  <c r="D163" i="32"/>
  <c r="F163" i="32" s="1"/>
  <c r="F12" i="9"/>
  <c r="F94" i="9" s="1"/>
  <c r="F52" i="9"/>
  <c r="F98" i="9" s="1"/>
  <c r="F39" i="9"/>
  <c r="F96" i="9" s="1"/>
  <c r="F72" i="9"/>
  <c r="F100" i="9" s="1"/>
  <c r="F91" i="32" l="1"/>
  <c r="F182" i="32" s="1"/>
  <c r="D162" i="32"/>
  <c r="F162" i="32" s="1"/>
  <c r="F160" i="32"/>
  <c r="F173" i="32" s="1"/>
  <c r="F187" i="32" s="1"/>
  <c r="D18" i="32"/>
  <c r="D119" i="32" s="1"/>
  <c r="F16" i="32"/>
  <c r="F108" i="9"/>
  <c r="F110" i="9" s="1"/>
  <c r="D14" i="31"/>
  <c r="D11" i="31"/>
  <c r="F10" i="31"/>
  <c r="F119" i="32" l="1"/>
  <c r="D123" i="32"/>
  <c r="D29" i="32"/>
  <c r="F29" i="32" s="1"/>
  <c r="D26" i="32"/>
  <c r="F18" i="32"/>
  <c r="B37" i="13"/>
  <c r="B36" i="31"/>
  <c r="B34" i="31"/>
  <c r="F26" i="31"/>
  <c r="F23" i="31"/>
  <c r="F28" i="31" s="1"/>
  <c r="F17" i="31"/>
  <c r="F11" i="31"/>
  <c r="F15" i="31"/>
  <c r="F14" i="31"/>
  <c r="B2" i="31"/>
  <c r="D124" i="32" l="1"/>
  <c r="F124" i="32" s="1"/>
  <c r="F123" i="32"/>
  <c r="D125" i="32"/>
  <c r="F26" i="32"/>
  <c r="F32" i="32" s="1"/>
  <c r="F179" i="32" s="1"/>
  <c r="F19" i="31"/>
  <c r="D133" i="32" l="1"/>
  <c r="F125" i="32"/>
  <c r="F36" i="31"/>
  <c r="F34" i="31"/>
  <c r="F133" i="32" l="1"/>
  <c r="D136" i="32"/>
  <c r="F40" i="31"/>
  <c r="C37" i="13" s="1"/>
  <c r="F41" i="29"/>
  <c r="F8" i="29"/>
  <c r="D13" i="29"/>
  <c r="F13" i="29" s="1"/>
  <c r="F9" i="29"/>
  <c r="F17" i="29"/>
  <c r="F19" i="29"/>
  <c r="F22" i="29"/>
  <c r="F24" i="29"/>
  <c r="F28" i="29"/>
  <c r="F29" i="29"/>
  <c r="F30" i="29"/>
  <c r="F35" i="29"/>
  <c r="F37" i="29"/>
  <c r="F40" i="29"/>
  <c r="F47" i="29"/>
  <c r="F57" i="29"/>
  <c r="F62" i="29"/>
  <c r="F65" i="29"/>
  <c r="F66" i="29"/>
  <c r="F71" i="29"/>
  <c r="F72" i="29"/>
  <c r="F73" i="29"/>
  <c r="F74"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7" i="29"/>
  <c r="F119" i="29"/>
  <c r="F123" i="29"/>
  <c r="F126" i="29"/>
  <c r="F128" i="29"/>
  <c r="F130" i="29"/>
  <c r="D77" i="30"/>
  <c r="D69" i="30"/>
  <c r="D72" i="30" s="1"/>
  <c r="F72" i="30" s="1"/>
  <c r="D73" i="30"/>
  <c r="D75" i="30" s="1"/>
  <c r="F75" i="30" s="1"/>
  <c r="D79" i="30"/>
  <c r="F79" i="30" s="1"/>
  <c r="D85" i="30"/>
  <c r="D86" i="30" s="1"/>
  <c r="D90" i="30"/>
  <c r="D91" i="30" s="1"/>
  <c r="F91" i="30" s="1"/>
  <c r="B2" i="30"/>
  <c r="F8" i="30"/>
  <c r="F9" i="30"/>
  <c r="F10" i="30"/>
  <c r="F11" i="30"/>
  <c r="F12" i="30"/>
  <c r="F16" i="30"/>
  <c r="F18" i="30"/>
  <c r="F20" i="30"/>
  <c r="F21" i="30"/>
  <c r="F22" i="30"/>
  <c r="F25" i="30"/>
  <c r="F28" i="30"/>
  <c r="F40" i="30"/>
  <c r="F42" i="30"/>
  <c r="F43" i="30"/>
  <c r="F44" i="30"/>
  <c r="F45" i="30"/>
  <c r="F47" i="30"/>
  <c r="F49" i="30"/>
  <c r="F48" i="30"/>
  <c r="F50" i="30"/>
  <c r="F56" i="30"/>
  <c r="F57" i="30"/>
  <c r="F58" i="30"/>
  <c r="F59" i="30"/>
  <c r="F60" i="30"/>
  <c r="F61" i="30"/>
  <c r="F62" i="30"/>
  <c r="F63" i="30"/>
  <c r="F70" i="30"/>
  <c r="F77" i="30"/>
  <c r="F78" i="30"/>
  <c r="F82" i="30"/>
  <c r="F83" i="30"/>
  <c r="F84" i="30"/>
  <c r="F85" i="30"/>
  <c r="F94" i="30"/>
  <c r="F96" i="30"/>
  <c r="F97" i="30"/>
  <c r="F98" i="30"/>
  <c r="F100" i="30"/>
  <c r="F105" i="30"/>
  <c r="F106" i="30"/>
  <c r="F107" i="30"/>
  <c r="F108" i="30"/>
  <c r="F109" i="30"/>
  <c r="D110" i="30"/>
  <c r="F110" i="30" s="1"/>
  <c r="F111" i="30"/>
  <c r="F112" i="30"/>
  <c r="F113" i="30"/>
  <c r="F114" i="30"/>
  <c r="F115" i="30"/>
  <c r="D123" i="30"/>
  <c r="F123" i="30" s="1"/>
  <c r="F126" i="30"/>
  <c r="F128" i="30"/>
  <c r="F130" i="30"/>
  <c r="F131" i="30"/>
  <c r="F132" i="30"/>
  <c r="F136" i="30"/>
  <c r="F137" i="30"/>
  <c r="F138" i="30"/>
  <c r="F139" i="30"/>
  <c r="F141" i="30"/>
  <c r="F142" i="30"/>
  <c r="F143" i="30"/>
  <c r="F144" i="30"/>
  <c r="F145" i="30"/>
  <c r="F146" i="30"/>
  <c r="F147" i="30"/>
  <c r="F148" i="30"/>
  <c r="F149" i="30"/>
  <c r="F150" i="30"/>
  <c r="F151" i="30"/>
  <c r="F152" i="30"/>
  <c r="F153" i="30"/>
  <c r="F154" i="30"/>
  <c r="F158" i="30"/>
  <c r="F159" i="30"/>
  <c r="F160" i="30"/>
  <c r="F165" i="30"/>
  <c r="D166" i="30"/>
  <c r="F166" i="30" s="1"/>
  <c r="D167" i="30"/>
  <c r="F167" i="30" s="1"/>
  <c r="D168" i="30"/>
  <c r="F168" i="30" s="1"/>
  <c r="D169" i="30"/>
  <c r="F169" i="30" s="1"/>
  <c r="D170" i="30"/>
  <c r="F170" i="30" s="1"/>
  <c r="D171" i="30"/>
  <c r="F171" i="30" s="1"/>
  <c r="F172" i="30"/>
  <c r="F173" i="30"/>
  <c r="B178" i="30"/>
  <c r="B180" i="30"/>
  <c r="B182" i="30"/>
  <c r="B184" i="30"/>
  <c r="F131" i="29" l="1"/>
  <c r="F139" i="29" s="1"/>
  <c r="F75" i="29"/>
  <c r="F77" i="29" s="1"/>
  <c r="F111" i="29" s="1"/>
  <c r="F137" i="29" s="1"/>
  <c r="F136" i="32"/>
  <c r="F137" i="32" s="1"/>
  <c r="F185" i="32" s="1"/>
  <c r="F196" i="32" s="1"/>
  <c r="F198" i="32" s="1"/>
  <c r="C39" i="13" s="1"/>
  <c r="D14" i="29"/>
  <c r="F14" i="29" s="1"/>
  <c r="D81" i="30"/>
  <c r="F81" i="30" s="1"/>
  <c r="F155" i="30"/>
  <c r="F157" i="30" s="1"/>
  <c r="F174" i="30" s="1"/>
  <c r="F184" i="30" s="1"/>
  <c r="F116" i="30"/>
  <c r="F182" i="30" s="1"/>
  <c r="F73" i="30"/>
  <c r="D87" i="30"/>
  <c r="F87" i="30" s="1"/>
  <c r="F86" i="30"/>
  <c r="D92" i="30"/>
  <c r="F92" i="30" s="1"/>
  <c r="F90" i="30"/>
  <c r="F69" i="30"/>
  <c r="F46" i="30"/>
  <c r="D97" i="25"/>
  <c r="D96" i="25"/>
  <c r="G92" i="25"/>
  <c r="F79" i="25"/>
  <c r="G79" i="25"/>
  <c r="F67" i="25"/>
  <c r="G70" i="25"/>
  <c r="F58" i="25"/>
  <c r="G58" i="25"/>
  <c r="G60" i="25"/>
  <c r="F60" i="25"/>
  <c r="G62" i="25"/>
  <c r="G55" i="25"/>
  <c r="G53" i="25"/>
  <c r="F53" i="25"/>
  <c r="D38" i="25"/>
  <c r="D37" i="25"/>
  <c r="D36" i="25"/>
  <c r="F36" i="25" s="1"/>
  <c r="F9" i="25"/>
  <c r="G18" i="25"/>
  <c r="G14" i="25"/>
  <c r="F60" i="11"/>
  <c r="F61" i="11"/>
  <c r="F87" i="11"/>
  <c r="F84" i="11"/>
  <c r="F85" i="11"/>
  <c r="F86" i="11"/>
  <c r="F14" i="30" l="1"/>
  <c r="F111" i="11"/>
  <c r="D107" i="11"/>
  <c r="F107" i="11" s="1"/>
  <c r="F105" i="11"/>
  <c r="D103" i="11"/>
  <c r="F103" i="11" s="1"/>
  <c r="F101" i="11"/>
  <c r="D73" i="11"/>
  <c r="F73" i="11" s="1"/>
  <c r="D66" i="11"/>
  <c r="F66" i="11" s="1"/>
  <c r="D65" i="11"/>
  <c r="F65" i="11" s="1"/>
  <c r="D77" i="11"/>
  <c r="D78" i="11" s="1"/>
  <c r="G81" i="11"/>
  <c r="D83" i="11"/>
  <c r="F83" i="11" s="1"/>
  <c r="F82" i="11"/>
  <c r="F81" i="11"/>
  <c r="D59" i="11"/>
  <c r="D53" i="11"/>
  <c r="D52" i="11"/>
  <c r="D63" i="11" s="1"/>
  <c r="D42" i="11"/>
  <c r="G38" i="11"/>
  <c r="F38" i="11"/>
  <c r="G31" i="11"/>
  <c r="G32" i="11" s="1"/>
  <c r="F32" i="11"/>
  <c r="F29" i="11"/>
  <c r="F26" i="11"/>
  <c r="F27" i="11"/>
  <c r="G27" i="11"/>
  <c r="D25" i="11"/>
  <c r="D23" i="11"/>
  <c r="D17" i="11"/>
  <c r="F15" i="30" l="1"/>
  <c r="F31" i="11"/>
  <c r="D39" i="11"/>
  <c r="F30" i="11"/>
  <c r="F17" i="30" l="1"/>
  <c r="D40" i="11"/>
  <c r="F40" i="11" s="1"/>
  <c r="F39" i="11"/>
  <c r="F19" i="30" l="1"/>
  <c r="D26" i="30"/>
  <c r="F26" i="30" s="1"/>
  <c r="D23" i="30"/>
  <c r="H12" i="28"/>
  <c r="F23" i="30" l="1"/>
  <c r="D29" i="30"/>
  <c r="D99" i="30" s="1"/>
  <c r="B34" i="13"/>
  <c r="B31" i="13"/>
  <c r="B28" i="13"/>
  <c r="B19" i="13"/>
  <c r="B22" i="13"/>
  <c r="B13" i="13"/>
  <c r="F29" i="30" l="1"/>
  <c r="F31" i="30" s="1"/>
  <c r="F178" i="30" s="1"/>
  <c r="F78" i="11"/>
  <c r="D75" i="11"/>
  <c r="F75" i="11" s="1"/>
  <c r="F52" i="11"/>
  <c r="D64" i="11"/>
  <c r="F64" i="11" s="1"/>
  <c r="F63" i="11"/>
  <c r="D49" i="11"/>
  <c r="F49" i="11" s="1"/>
  <c r="D57" i="11"/>
  <c r="F57" i="11" s="1"/>
  <c r="D55" i="11"/>
  <c r="F55" i="11" s="1"/>
  <c r="D47" i="11"/>
  <c r="F47" i="11" s="1"/>
  <c r="D46" i="11"/>
  <c r="D50" i="11" s="1"/>
  <c r="D19" i="11"/>
  <c r="D15" i="11"/>
  <c r="D14" i="11"/>
  <c r="F76" i="11"/>
  <c r="F74" i="11"/>
  <c r="D72" i="11"/>
  <c r="F72" i="11" s="1"/>
  <c r="F71" i="11"/>
  <c r="F62" i="11"/>
  <c r="F59" i="11"/>
  <c r="F58" i="11"/>
  <c r="F56" i="11"/>
  <c r="F54" i="11"/>
  <c r="F53" i="11"/>
  <c r="F51" i="11"/>
  <c r="D10" i="11"/>
  <c r="D9" i="11"/>
  <c r="D12" i="11" s="1"/>
  <c r="D101" i="30" l="1"/>
  <c r="F101" i="30" s="1"/>
  <c r="F99" i="30"/>
  <c r="F51" i="30"/>
  <c r="F52" i="30"/>
  <c r="F50" i="11"/>
  <c r="D48" i="11"/>
  <c r="F48" i="11" s="1"/>
  <c r="F77" i="11"/>
  <c r="F46" i="11"/>
  <c r="B2" i="29"/>
  <c r="F184" i="28"/>
  <c r="D171" i="28"/>
  <c r="F171" i="28" s="1"/>
  <c r="D168" i="28"/>
  <c r="F168" i="28" s="1"/>
  <c r="D165" i="28"/>
  <c r="D166" i="28" s="1"/>
  <c r="D170" i="28" s="1"/>
  <c r="D164" i="28"/>
  <c r="F164" i="28" s="1"/>
  <c r="F180" i="28"/>
  <c r="F179" i="28"/>
  <c r="F178" i="28"/>
  <c r="F173" i="28"/>
  <c r="F172" i="28"/>
  <c r="F161" i="28"/>
  <c r="F160" i="28"/>
  <c r="F64" i="30" l="1"/>
  <c r="F66" i="30" s="1"/>
  <c r="F102" i="30" s="1"/>
  <c r="F180" i="30" s="1"/>
  <c r="D175" i="28"/>
  <c r="F175" i="28" s="1"/>
  <c r="F166" i="28"/>
  <c r="D167" i="28"/>
  <c r="D169" i="28" s="1"/>
  <c r="F165" i="28"/>
  <c r="F167" i="28" l="1"/>
  <c r="F169" i="28" l="1"/>
  <c r="F170" i="28"/>
  <c r="F187" i="30" l="1"/>
  <c r="C19" i="13" s="1"/>
  <c r="F159" i="28" l="1"/>
  <c r="F181" i="28" s="1"/>
  <c r="F204" i="28" s="1"/>
  <c r="D151" i="28"/>
  <c r="F151" i="28" s="1"/>
  <c r="D104" i="27"/>
  <c r="D106" i="27" s="1"/>
  <c r="D101" i="28"/>
  <c r="D103" i="28" s="1"/>
  <c r="F103" i="28" s="1"/>
  <c r="D99" i="27"/>
  <c r="D96" i="28"/>
  <c r="D97" i="28" s="1"/>
  <c r="F95" i="28"/>
  <c r="F94" i="28"/>
  <c r="F97" i="27"/>
  <c r="D85" i="28"/>
  <c r="F85" i="28" s="1"/>
  <c r="D87" i="27"/>
  <c r="D81" i="28"/>
  <c r="D83" i="28" s="1"/>
  <c r="D89" i="28" s="1"/>
  <c r="D90" i="28" s="1"/>
  <c r="F90" i="28" s="1"/>
  <c r="D77" i="28"/>
  <c r="F77" i="28" s="1"/>
  <c r="D73" i="28"/>
  <c r="F73" i="28" s="1"/>
  <c r="D72" i="28"/>
  <c r="F72" i="28" s="1"/>
  <c r="D71" i="28"/>
  <c r="F71" i="28" s="1"/>
  <c r="D70" i="28"/>
  <c r="F70" i="28" s="1"/>
  <c r="D69" i="28"/>
  <c r="F69" i="28" s="1"/>
  <c r="D68" i="28"/>
  <c r="F68" i="28" s="1"/>
  <c r="D69" i="27"/>
  <c r="F12" i="27"/>
  <c r="F11" i="27"/>
  <c r="F12" i="28"/>
  <c r="F11" i="28"/>
  <c r="F191" i="28"/>
  <c r="F190" i="28"/>
  <c r="F189" i="28"/>
  <c r="F188" i="28"/>
  <c r="F185" i="28"/>
  <c r="F205" i="28" s="1"/>
  <c r="F155" i="28"/>
  <c r="F154" i="28"/>
  <c r="F153" i="28"/>
  <c r="F152" i="28"/>
  <c r="F150" i="28"/>
  <c r="F149" i="28"/>
  <c r="F148" i="28"/>
  <c r="F147" i="28"/>
  <c r="F146" i="28"/>
  <c r="F145" i="28"/>
  <c r="D144" i="28"/>
  <c r="F144" i="28" s="1"/>
  <c r="F143" i="28"/>
  <c r="F142" i="28"/>
  <c r="F141" i="28"/>
  <c r="F140" i="28"/>
  <c r="F139" i="28"/>
  <c r="F109" i="28"/>
  <c r="F110" i="28" s="1"/>
  <c r="F201" i="28" s="1"/>
  <c r="F105" i="28"/>
  <c r="F93" i="28"/>
  <c r="D87" i="28"/>
  <c r="F87" i="28" s="1"/>
  <c r="F86" i="28"/>
  <c r="F78" i="28"/>
  <c r="F74" i="28"/>
  <c r="F28" i="28"/>
  <c r="F22" i="28"/>
  <c r="F21" i="28"/>
  <c r="F20" i="28"/>
  <c r="F18" i="28"/>
  <c r="F16" i="28"/>
  <c r="D10" i="28"/>
  <c r="D14" i="28" s="1"/>
  <c r="F9" i="28"/>
  <c r="F8" i="28"/>
  <c r="B2" i="28"/>
  <c r="F101" i="28" l="1"/>
  <c r="F102" i="28"/>
  <c r="F81" i="28"/>
  <c r="F192" i="28"/>
  <c r="F206" i="28" s="1"/>
  <c r="D80" i="28"/>
  <c r="F80" i="28" s="1"/>
  <c r="F96" i="28"/>
  <c r="F83" i="28"/>
  <c r="F156" i="28"/>
  <c r="F203" i="28" s="1"/>
  <c r="F97" i="28"/>
  <c r="D98" i="28"/>
  <c r="F98" i="28" s="1"/>
  <c r="F14" i="28"/>
  <c r="D15" i="28"/>
  <c r="F89" i="28"/>
  <c r="F10" i="28"/>
  <c r="F180" i="27"/>
  <c r="D170" i="27"/>
  <c r="D89" i="27"/>
  <c r="D82" i="27"/>
  <c r="D74" i="27"/>
  <c r="D73" i="27"/>
  <c r="D72" i="27"/>
  <c r="D71" i="27"/>
  <c r="F71" i="27" s="1"/>
  <c r="D70" i="27"/>
  <c r="D21" i="27"/>
  <c r="F63" i="27" s="1"/>
  <c r="F65" i="27" s="1"/>
  <c r="F197" i="27" s="1"/>
  <c r="D8" i="27"/>
  <c r="F8" i="27" s="1"/>
  <c r="F91" i="28" l="1"/>
  <c r="F199" i="28" s="1"/>
  <c r="F106" i="28"/>
  <c r="F200" i="28" s="1"/>
  <c r="F15" i="28"/>
  <c r="D17" i="28"/>
  <c r="D10" i="27"/>
  <c r="B2" i="27"/>
  <c r="D19" i="28" l="1"/>
  <c r="F17" i="28"/>
  <c r="C7" i="13"/>
  <c r="D13" i="10"/>
  <c r="D14" i="10" s="1"/>
  <c r="F14" i="10" s="1"/>
  <c r="F12" i="10"/>
  <c r="F52" i="5"/>
  <c r="F51" i="5"/>
  <c r="F50" i="5"/>
  <c r="F47" i="5"/>
  <c r="F46" i="5"/>
  <c r="F45" i="5"/>
  <c r="F43" i="5"/>
  <c r="F42" i="5"/>
  <c r="F39" i="5"/>
  <c r="D34" i="5"/>
  <c r="F34" i="5" s="1"/>
  <c r="F31" i="5"/>
  <c r="F25" i="5"/>
  <c r="F19" i="5"/>
  <c r="F18" i="5"/>
  <c r="D15" i="5"/>
  <c r="F15" i="5" s="1"/>
  <c r="F13" i="5"/>
  <c r="D11" i="5"/>
  <c r="F11" i="5" s="1"/>
  <c r="D120" i="28" l="1"/>
  <c r="F120" i="28" s="1"/>
  <c r="D29" i="28"/>
  <c r="F29" i="28" s="1"/>
  <c r="C28" i="13"/>
  <c r="F13" i="10"/>
  <c r="F16" i="10" s="1"/>
  <c r="C31" i="13" s="1"/>
  <c r="D26" i="28"/>
  <c r="F19" i="28"/>
  <c r="D124" i="28" l="1"/>
  <c r="D126" i="28"/>
  <c r="F124" i="28"/>
  <c r="D125" i="28"/>
  <c r="F125" i="28" s="1"/>
  <c r="F26" i="28"/>
  <c r="F126" i="28" l="1"/>
  <c r="D134" i="28"/>
  <c r="F134" i="28" s="1"/>
  <c r="F33" i="28"/>
  <c r="F196" i="28" s="1"/>
  <c r="F136" i="28" l="1"/>
  <c r="F202" i="28" s="1"/>
  <c r="F208" i="28" s="1"/>
  <c r="F26" i="5"/>
  <c r="F28" i="5" s="1"/>
  <c r="F54" i="5" s="1"/>
  <c r="C34" i="13" s="1"/>
  <c r="C13" i="13" l="1"/>
  <c r="I219" i="28"/>
  <c r="F13" i="11"/>
  <c r="F16" i="11"/>
  <c r="F18" i="11"/>
  <c r="F21" i="11"/>
  <c r="F24" i="11"/>
  <c r="F41" i="11"/>
  <c r="F113" i="25" l="1"/>
  <c r="F112" i="25"/>
  <c r="F111" i="25"/>
  <c r="F110" i="25"/>
  <c r="F109" i="25"/>
  <c r="F108" i="25"/>
  <c r="F107" i="25"/>
  <c r="F106" i="25"/>
  <c r="F105" i="25"/>
  <c r="F104" i="25"/>
  <c r="F103" i="25"/>
  <c r="F102" i="25"/>
  <c r="F97" i="25"/>
  <c r="F96" i="25"/>
  <c r="F92" i="25"/>
  <c r="F81" i="25"/>
  <c r="F76" i="25"/>
  <c r="F75" i="25"/>
  <c r="F74" i="25"/>
  <c r="F73" i="25"/>
  <c r="F70" i="25"/>
  <c r="F62" i="25"/>
  <c r="F55" i="25"/>
  <c r="F38" i="25"/>
  <c r="F37" i="25"/>
  <c r="F42" i="25"/>
  <c r="F41" i="25"/>
  <c r="F40" i="25"/>
  <c r="F33" i="25"/>
  <c r="F32" i="25"/>
  <c r="F31" i="25"/>
  <c r="F28" i="25"/>
  <c r="F24" i="25"/>
  <c r="F21" i="25"/>
  <c r="F18" i="25"/>
  <c r="F17" i="25"/>
  <c r="F16" i="25"/>
  <c r="F14" i="25"/>
  <c r="F7" i="25"/>
  <c r="F191" i="27"/>
  <c r="F190" i="27"/>
  <c r="F189" i="27"/>
  <c r="F188" i="27"/>
  <c r="F185" i="27"/>
  <c r="F204" i="27" s="1"/>
  <c r="F181" i="27"/>
  <c r="F203" i="27" s="1"/>
  <c r="F174" i="27"/>
  <c r="F173" i="27"/>
  <c r="F172" i="27"/>
  <c r="F171" i="27"/>
  <c r="F170" i="27"/>
  <c r="F169" i="27"/>
  <c r="F168" i="27"/>
  <c r="F167" i="27"/>
  <c r="F166" i="27"/>
  <c r="F165" i="27"/>
  <c r="F164" i="27"/>
  <c r="D163" i="27"/>
  <c r="F163" i="27" s="1"/>
  <c r="F162" i="27"/>
  <c r="F161" i="27"/>
  <c r="F160" i="27"/>
  <c r="F159" i="27"/>
  <c r="F113" i="27"/>
  <c r="F115" i="27" s="1"/>
  <c r="F200" i="27" s="1"/>
  <c r="F108" i="27"/>
  <c r="F106" i="27"/>
  <c r="F105" i="27"/>
  <c r="F104" i="27"/>
  <c r="D100" i="27"/>
  <c r="D101" i="27" s="1"/>
  <c r="F101" i="27" s="1"/>
  <c r="F99" i="27"/>
  <c r="F98" i="27"/>
  <c r="F96" i="27"/>
  <c r="F93" i="27"/>
  <c r="F89" i="27"/>
  <c r="F88" i="27"/>
  <c r="F87" i="27"/>
  <c r="F80" i="27"/>
  <c r="F79" i="27"/>
  <c r="F76" i="27"/>
  <c r="F75" i="27"/>
  <c r="F74" i="27"/>
  <c r="F73" i="27"/>
  <c r="F72" i="27"/>
  <c r="F70" i="27"/>
  <c r="F69" i="27"/>
  <c r="F44" i="25" l="1"/>
  <c r="F47" i="25" s="1"/>
  <c r="F86" i="25" s="1"/>
  <c r="F88" i="25" s="1"/>
  <c r="F114" i="25" s="1"/>
  <c r="C22" i="13" s="1"/>
  <c r="F177" i="27"/>
  <c r="F202" i="27" s="1"/>
  <c r="F192" i="27"/>
  <c r="F205" i="27" s="1"/>
  <c r="F100" i="27"/>
  <c r="F109" i="27" s="1"/>
  <c r="F199" i="27" s="1"/>
  <c r="F82" i="27" l="1"/>
  <c r="B10" i="13"/>
  <c r="D85" i="27" l="1"/>
  <c r="F83" i="27"/>
  <c r="F85" i="27" l="1"/>
  <c r="D91" i="27"/>
  <c r="D92" i="27" l="1"/>
  <c r="F92" i="27" s="1"/>
  <c r="F91" i="27"/>
  <c r="F94" i="27" l="1"/>
  <c r="F198" i="27" s="1"/>
  <c r="F25" i="11"/>
  <c r="F23" i="11"/>
  <c r="F19" i="11"/>
  <c r="F17" i="11"/>
  <c r="F15" i="11"/>
  <c r="F14" i="11"/>
  <c r="F12" i="11" l="1"/>
  <c r="F9" i="11"/>
  <c r="D11" i="11"/>
  <c r="F11" i="11" s="1"/>
  <c r="F10" i="11"/>
  <c r="F42" i="11"/>
  <c r="F34" i="11" l="1"/>
  <c r="F37" i="11" s="1"/>
  <c r="F68" i="11" s="1"/>
  <c r="F70" i="11" s="1"/>
  <c r="F94" i="11" s="1"/>
  <c r="F96" i="11" s="1"/>
  <c r="F115" i="11" s="1"/>
  <c r="C25" i="13" s="1"/>
  <c r="F29" i="27"/>
  <c r="F22" i="27"/>
  <c r="F21" i="27"/>
  <c r="F20" i="27"/>
  <c r="F18" i="27"/>
  <c r="F16" i="27"/>
  <c r="D14" i="27"/>
  <c r="D126" i="27" s="1"/>
  <c r="D135" i="27" s="1"/>
  <c r="F9" i="27"/>
  <c r="F126" i="27" l="1"/>
  <c r="D15" i="27"/>
  <c r="D123" i="27" s="1"/>
  <c r="F123" i="27" s="1"/>
  <c r="F14" i="27"/>
  <c r="F10" i="27"/>
  <c r="B25" i="13"/>
  <c r="F15" i="27" l="1"/>
  <c r="D17" i="27"/>
  <c r="F135" i="27" l="1"/>
  <c r="D19" i="27"/>
  <c r="F17" i="27"/>
  <c r="F137" i="27" l="1"/>
  <c r="F201" i="27" s="1"/>
  <c r="D27" i="27"/>
  <c r="F30" i="27"/>
  <c r="F19" i="27"/>
  <c r="F27" i="27" l="1"/>
  <c r="F38" i="27" s="1"/>
  <c r="E53" i="13" l="1"/>
  <c r="F195" i="27" l="1"/>
  <c r="F207" i="27" s="1"/>
  <c r="C10" i="13" l="1"/>
  <c r="C42" i="13" s="1"/>
  <c r="G207" i="27"/>
  <c r="F42" i="29"/>
  <c r="F44" i="29" s="1"/>
  <c r="F48" i="29" s="1"/>
  <c r="F135" i="29" s="1"/>
  <c r="F143" i="29" s="1"/>
  <c r="C16" i="13" s="1"/>
  <c r="C45" i="13" l="1"/>
</calcChain>
</file>

<file path=xl/sharedStrings.xml><?xml version="1.0" encoding="utf-8"?>
<sst xmlns="http://schemas.openxmlformats.org/spreadsheetml/2006/main" count="2521" uniqueCount="1227">
  <si>
    <t>FINISHES</t>
  </si>
  <si>
    <t>PAGE</t>
  </si>
  <si>
    <t>SM</t>
  </si>
  <si>
    <t>LM</t>
  </si>
  <si>
    <t>No.</t>
  </si>
  <si>
    <t xml:space="preserve"> </t>
  </si>
  <si>
    <t>ITEM NO.</t>
  </si>
  <si>
    <t>DESCRIPTION</t>
  </si>
  <si>
    <t xml:space="preserve">UNIT </t>
  </si>
  <si>
    <t xml:space="preserve">The Contractor's attention is drawn to the fact that they shall confine themselves to the area </t>
  </si>
  <si>
    <t xml:space="preserve">materials found on the Site. Any such material utilized in the execution of the Contract shall be </t>
  </si>
  <si>
    <t xml:space="preserve"> GENERAL MATTERS</t>
  </si>
  <si>
    <t>SUFFICIENCY OF TENDER</t>
  </si>
  <si>
    <t>TRANSPORT TO AND FROM THE SITE</t>
  </si>
  <si>
    <t xml:space="preserve">The Contractor shall include in their prices for the transport of materials, workmen, etc., to and </t>
  </si>
  <si>
    <t xml:space="preserve">from the Site of the proposed Works, at such hours and by such routes as are permitted by </t>
  </si>
  <si>
    <t>the Authorities.</t>
  </si>
  <si>
    <t>CONTRACTORS' SUPERINTENDENCE</t>
  </si>
  <si>
    <t xml:space="preserve">The Contractor shall constantly keep on the Works a literate English-speaking Agent or </t>
  </si>
  <si>
    <t>proposed Representative.  A curriculum vitae of past experience and qualifications must be</t>
  </si>
  <si>
    <t>WATER</t>
  </si>
  <si>
    <t xml:space="preserve">All water shall be fresh, clean and pure, free from earthy vegetable or organic matter, acid or </t>
  </si>
  <si>
    <t>alkaline substance in solution or suspension.</t>
  </si>
  <si>
    <t xml:space="preserve">The Contractor shall provide at their own risk and cost all water for use in connection with the </t>
  </si>
  <si>
    <t>LIGHTING AND POWER</t>
  </si>
  <si>
    <t>SAFETY</t>
  </si>
  <si>
    <t>PROTECTIVE CLOTHING</t>
  </si>
  <si>
    <t xml:space="preserve">The Contractor shall provide all protective or any other special  clothing or equipment for their </t>
  </si>
  <si>
    <t xml:space="preserve">employees that may be necessary. </t>
  </si>
  <si>
    <t>SANITATION</t>
  </si>
  <si>
    <t xml:space="preserve">The Contractor shall make arrangements for the necessary toilet facilities for their staff and </t>
  </si>
  <si>
    <t xml:space="preserve">workmen to the requirements and satisfaction of the Health authorities and maintain the same </t>
  </si>
  <si>
    <t>PLANT, TOOLS AND SCAFFOLDING</t>
  </si>
  <si>
    <t xml:space="preserve">Such scaffolding shall be constructed of tubular steel or timber of sufficient scantlings and be </t>
  </si>
  <si>
    <t>provided with planked footways and guard-rails to approval.</t>
  </si>
  <si>
    <t xml:space="preserve">All such plant, tools and scaffolding shall comply with all regulations whether general or local, in </t>
  </si>
  <si>
    <t>The site of the works shall be used solely for the purpose of executing and completing the</t>
  </si>
  <si>
    <t>areas for materials.</t>
  </si>
  <si>
    <t xml:space="preserve">nature of the ground, sub- strata and other local conditions, position of power and water </t>
  </si>
  <si>
    <t xml:space="preserve">supplies, access roads or any other limitations, and no claims for extras will be considered </t>
  </si>
  <si>
    <t>on account of lack of knowledge in this respect.</t>
  </si>
  <si>
    <t xml:space="preserve">measured and value assessed by the Quantity Surveyor and the amount credited to the </t>
  </si>
  <si>
    <t xml:space="preserve">Employer.   </t>
  </si>
  <si>
    <t xml:space="preserve">The Contractor shall be deemed to have satisfied themselves before tendering as to the </t>
  </si>
  <si>
    <t xml:space="preserve">correctness and sufficiency of their Tender for the Works and of the rates and prices stated </t>
  </si>
  <si>
    <t xml:space="preserve">in the priced Bills of Quantities, which rates and prices shall cover all their obligations under the </t>
  </si>
  <si>
    <t>Contract and all matters and things necessary for the proper completion and maintenance of</t>
  </si>
  <si>
    <t xml:space="preserve"> the Works.</t>
  </si>
  <si>
    <t xml:space="preserve">Representative, competent and experienced in the kind of work involved, who shall give </t>
  </si>
  <si>
    <t xml:space="preserve">his whole time to the superintendence of the Works.  Such Agent or Representative shall </t>
  </si>
  <si>
    <t xml:space="preserve">directions and instructions shall be deemed given to the Contractor in accordance with the </t>
  </si>
  <si>
    <t xml:space="preserve">Conditions of Contract. The Agent shall not be replaced without the specific approval of the </t>
  </si>
  <si>
    <t xml:space="preserve">It is to be a specific condition of this Contract that the successful Tenderer shall provide </t>
  </si>
  <si>
    <t xml:space="preserve">on site throughout the period from the completion of the substructure to the Date for </t>
  </si>
  <si>
    <t xml:space="preserve">Practical Completion a suitably qualified, experienced and competent person to ensure </t>
  </si>
  <si>
    <t xml:space="preserve">that the works are carried out to the standard required by the specification and detailed </t>
  </si>
  <si>
    <t xml:space="preserve">on the Drawings; and shall ensure that upon any termination of employment a suitable </t>
  </si>
  <si>
    <t>replacement is found.</t>
  </si>
  <si>
    <t xml:space="preserve">Works (including the work of Sub-Contractors). The Contractor shall provide at their own </t>
  </si>
  <si>
    <t xml:space="preserve">expense all temporary distribution pipes, storage tanks, meters, etc., and they shall clear </t>
  </si>
  <si>
    <t>away same upon completion of the Works.</t>
  </si>
  <si>
    <t xml:space="preserve">The Contractor shall provide at their own risk and cost all artificial lighting and power for use </t>
  </si>
  <si>
    <t xml:space="preserve">on the Works, including all Sub-Contractors' and Specialists' requirements and including all </t>
  </si>
  <si>
    <t>temporary connections, wiring, fittings, etc., and clearing away on completion. The Contractor</t>
  </si>
  <si>
    <t xml:space="preserve"> shall pay all fees and obtain all permits in connection therewith.</t>
  </si>
  <si>
    <t xml:space="preserve">In particular there shall  be proper provision of planked footways and guard-rails to scaffolding, </t>
  </si>
  <si>
    <t xml:space="preserve">etc.; protection against falling materials and tools and the Site shall be kept tidy and clear of </t>
  </si>
  <si>
    <t>dangerous rubbish.</t>
  </si>
  <si>
    <t xml:space="preserve">These shall include, inter-alia, safety helmets, gloves, goggles, earmuffs, gumboots, steel </t>
  </si>
  <si>
    <t>toed boots, overalls, etc according to the type of work. The Contractor shall ensure</t>
  </si>
  <si>
    <t>that all safety and protective gear are worn by all staff on site at all times</t>
  </si>
  <si>
    <t xml:space="preserve">in a thoroughly clean and sanitary condition and pay all conservancy fees during the period of </t>
  </si>
  <si>
    <t xml:space="preserve">the Works and remove when no longer required.  </t>
  </si>
  <si>
    <t xml:space="preserve">The Contractor shall provide all necessary hoists, tackle, plant, vehicles, tools and appliances </t>
  </si>
  <si>
    <t xml:space="preserve">of on every description for the due and satisfactory completion of the Works and shall remove </t>
  </si>
  <si>
    <t>same completion.</t>
  </si>
  <si>
    <t xml:space="preserve">The Contractor shall provide, erect and maintain all temporary scaffolding, sufficiently strong </t>
  </si>
  <si>
    <t xml:space="preserve">and efficient for the due performance of the Works, including Sub-contract Works, provide </t>
  </si>
  <si>
    <t xml:space="preserve">special scaffolding as and when required during the Works and remove on completion and </t>
  </si>
  <si>
    <t>make good.</t>
  </si>
  <si>
    <t>as may be necessary to comply with any amendments in or additions to such regulations.</t>
  </si>
  <si>
    <t>force throughout the period of the Contract and shall be altered or adapted during the Contract</t>
  </si>
  <si>
    <t>ITEM</t>
  </si>
  <si>
    <t>GRAND SUMMARY</t>
  </si>
  <si>
    <t xml:space="preserve">SIGNED:  </t>
  </si>
  <si>
    <t>Address: ………………………………………………………………………………………………………………………………………</t>
  </si>
  <si>
    <t>Tel No: ………………………………………………………………………………………………………………………………………</t>
  </si>
  <si>
    <t>Date: ……………………………………………………………………………………………………………………………………………</t>
  </si>
  <si>
    <t>SIGNED:</t>
  </si>
  <si>
    <t>Address:  ……………………………………………………………………………………………………………………………………</t>
  </si>
  <si>
    <t>Date: ………………………………………………………………………………………………………………………………………….</t>
  </si>
  <si>
    <t xml:space="preserve">The Contractors shall visit the site to acquaint themselves with its nature and position, the </t>
  </si>
  <si>
    <t>conditions are not being observed, and no claim arising from such a suspension will be allowed.</t>
  </si>
  <si>
    <t>AMOUNT (US$)</t>
  </si>
  <si>
    <t>US$</t>
  </si>
  <si>
    <t xml:space="preserve">Excavations including maintaining and supporting sides </t>
  </si>
  <si>
    <t>and keeping free from water, mud and fallen material</t>
  </si>
  <si>
    <t>CM</t>
  </si>
  <si>
    <t>Disposal</t>
  </si>
  <si>
    <t xml:space="preserve">Return, fill and ram selected excavated material around </t>
  </si>
  <si>
    <t>Plain concrete class 15 in:</t>
  </si>
  <si>
    <t>Reinforcement, as described:-[PROVISIONAL]</t>
  </si>
  <si>
    <t>Kg</t>
  </si>
  <si>
    <t>WALLING</t>
  </si>
  <si>
    <t>SECTION 1: PRELIMINARIES AND GENERAL DESCRIPTIONS</t>
  </si>
  <si>
    <t xml:space="preserve">including 25mm wide x 20 gauge hoop iron at every </t>
  </si>
  <si>
    <t>alternate course as described in:</t>
  </si>
  <si>
    <t>ELEMENT NO. 1</t>
  </si>
  <si>
    <t>Damp-proof membrane</t>
  </si>
  <si>
    <t xml:space="preserve">Fabric ref. A142 weighing 2.22kg/ sq.metre, in surface </t>
  </si>
  <si>
    <t>cement and sand (1:4) mortar, reinforcement with and</t>
  </si>
  <si>
    <t>REINFORCED CONCRETE FRAME</t>
  </si>
  <si>
    <t>15 mm cement and sand (1:3) render, finished with</t>
  </si>
  <si>
    <t>Concrete or masonry surfaces externally</t>
  </si>
  <si>
    <t>Floor Finishes</t>
  </si>
  <si>
    <t>Cement and sand (1:3) screeds, backings, beds etc</t>
  </si>
  <si>
    <t>Painting and decorating</t>
  </si>
  <si>
    <t>No</t>
  </si>
  <si>
    <t>NO</t>
  </si>
  <si>
    <t>foundations</t>
  </si>
  <si>
    <t>Anti-termite treatment</t>
  </si>
  <si>
    <t>bed</t>
  </si>
  <si>
    <t xml:space="preserve">Lighting Fittings </t>
  </si>
  <si>
    <t xml:space="preserve">Switches </t>
  </si>
  <si>
    <t>5 Amps one gang one way switch</t>
  </si>
  <si>
    <t xml:space="preserve">Socket outlets </t>
  </si>
  <si>
    <t>Socket outlet points</t>
  </si>
  <si>
    <t>13 A twin sockets outlet</t>
  </si>
  <si>
    <t xml:space="preserve">Final circuit Wiring </t>
  </si>
  <si>
    <t>Lighting points</t>
  </si>
  <si>
    <t>M</t>
  </si>
  <si>
    <t>3 speed box fan with 20 inch blades</t>
  </si>
  <si>
    <t>Nr.</t>
  </si>
  <si>
    <t>Top soil excavation average 200mm deep</t>
  </si>
  <si>
    <t>Ground beam</t>
  </si>
  <si>
    <t>SUPER-STRUCTURE WALLING</t>
  </si>
  <si>
    <t>m</t>
  </si>
  <si>
    <t>1.50 meters deep, starting from stripped levels</t>
  </si>
  <si>
    <t>75x50mm purlins</t>
  </si>
  <si>
    <t>Unit</t>
  </si>
  <si>
    <t>Item</t>
  </si>
  <si>
    <t>UNIT</t>
  </si>
  <si>
    <t>QTY</t>
  </si>
  <si>
    <t>RATE</t>
  </si>
  <si>
    <t>AMOUNT</t>
  </si>
  <si>
    <t>Clear site of all bushes and debris. Grab up roots and</t>
  </si>
  <si>
    <t>burn the arisings</t>
  </si>
  <si>
    <t>ELEMENT NO. 2 : SUBSTRUCTURES (PROVISIONAL)</t>
  </si>
  <si>
    <t>meters deep, starting from stripped levels</t>
  </si>
  <si>
    <t xml:space="preserve">Load, wheel and cart deposit and spread surplus </t>
  </si>
  <si>
    <t xml:space="preserve">excavated material where directed on site at a </t>
  </si>
  <si>
    <t>distance not exceeding  100 meters</t>
  </si>
  <si>
    <t>ELEMENT NO. 3 : CONCRETE WORKS</t>
  </si>
  <si>
    <t xml:space="preserve">Insitu concrete class 25/20 , vibrated and reinforced as described, in:- </t>
  </si>
  <si>
    <t>BEAMS</t>
  </si>
  <si>
    <t>Ring beam 1</t>
  </si>
  <si>
    <t>SLABS</t>
  </si>
  <si>
    <t>To edge of floor slab</t>
  </si>
  <si>
    <t>Ditto to sides and soffits of roof slab</t>
  </si>
  <si>
    <t>Ditto, wall plate</t>
  </si>
  <si>
    <t xml:space="preserve">Ditto, 100mm diameter down pipe fixed with brackets to wall at 1000mm maximum centers </t>
  </si>
  <si>
    <t>ELEMENT NO. 6 : FINISHES</t>
  </si>
  <si>
    <t>C.M</t>
  </si>
  <si>
    <t>KG</t>
  </si>
  <si>
    <t>S.M</t>
  </si>
  <si>
    <t>AMT US$</t>
  </si>
  <si>
    <t>EXCAVATION</t>
  </si>
  <si>
    <t xml:space="preserve">Excavate trench for foundation not exceeding </t>
  </si>
  <si>
    <t>Disposal of excavated materials</t>
  </si>
  <si>
    <t>Cart away surplus excavated material</t>
  </si>
  <si>
    <t>Return fill and compact selected excavated materials around foundations</t>
  </si>
  <si>
    <t>ELEMENT NO.3</t>
  </si>
  <si>
    <t>Insitu concrete ; reinforced;class 20/(20mm): vibrated</t>
  </si>
  <si>
    <t xml:space="preserve">Construction of RCC beams of the floor and Collumn bases roof slab 0.2mx0.2mx8x2 </t>
  </si>
  <si>
    <t>Assorted steel bars 4 No 12Ǿ at spacing of staff 200mm@Cc</t>
  </si>
  <si>
    <t xml:space="preserve">Construction of RCC columns with dimensions  0.4mx0.4mx7m </t>
  </si>
  <si>
    <t>Assorted steel bars for column footing  both directions @ 16Ǿ spacing 200mm Cc</t>
  </si>
  <si>
    <t xml:space="preserve"> RCC mat foundation trench  and RCCA footings columns assorted steel bars for </t>
  </si>
  <si>
    <t>footing both directions 12diam specing 250mm@c-c</t>
  </si>
  <si>
    <t xml:space="preserve">Construction of RCC floor and roof slab for guard tower 2mx2mx0.2m </t>
  </si>
  <si>
    <t xml:space="preserve">steel bars of the floor&amp; roof slab both  X-direction </t>
  </si>
  <si>
    <t>Reinforcement( all provisional)</t>
  </si>
  <si>
    <t>Assorted bars</t>
  </si>
  <si>
    <t>In-situ concrete</t>
  </si>
  <si>
    <t>Mass concrete( 1.3.6/38-38mm aggregate)</t>
  </si>
  <si>
    <t>50mm thick mass concrete class Q(1:3:6) to bottoms of columns bases</t>
  </si>
  <si>
    <t>Sawn formwork to insitu concrete as described:-</t>
  </si>
  <si>
    <t>to sides of  suspended Slabs</t>
  </si>
  <si>
    <t>Ditto: sides of Columns bases</t>
  </si>
  <si>
    <t>Ditto: Beams</t>
  </si>
  <si>
    <t>To sides of the wall</t>
  </si>
  <si>
    <t>Toside of columns</t>
  </si>
  <si>
    <t>ELEMENT NO.4</t>
  </si>
  <si>
    <t>200mm  thick reinforced concrete walling  cast</t>
  </si>
  <si>
    <t>cement and sand -aggregate  (1:2:4) mortar, reinforcement with 12mm diam re bars</t>
  </si>
  <si>
    <t xml:space="preserve">200mm thick Reinforced concrete Retaining Wall </t>
  </si>
  <si>
    <t>at height of 1.4m class Q (1:3:6) at the top of Slab</t>
  </si>
  <si>
    <t>MC</t>
  </si>
  <si>
    <t>ELEMENT NO.5</t>
  </si>
  <si>
    <t>Wall finishes</t>
  </si>
  <si>
    <t>Plaster; 12mm thick 2 No. coatwork, generally to: -</t>
  </si>
  <si>
    <t xml:space="preserve">9mm first coat of cement sand (1:6); 3mm </t>
  </si>
  <si>
    <t xml:space="preserve">second coat of cement and lime putty (1:10); </t>
  </si>
  <si>
    <t xml:space="preserve">steel trowelled toconcrete or blockwork base </t>
  </si>
  <si>
    <t>Walls, and Columns</t>
  </si>
  <si>
    <t>Painting and decorations</t>
  </si>
  <si>
    <t xml:space="preserve">Prepare and apply three coats of first </t>
  </si>
  <si>
    <t>quality silk vinyl paint to: -</t>
  </si>
  <si>
    <t>Plastered surfaces</t>
  </si>
  <si>
    <t>Floor finishes</t>
  </si>
  <si>
    <t>Beds or Backings</t>
  </si>
  <si>
    <t>Screed; cement and sand (1:3)</t>
  </si>
  <si>
    <t xml:space="preserve">40mm thick one coat backings; wood floated </t>
  </si>
  <si>
    <t xml:space="preserve">to concrete base; smooth trowelled in red-oxide; </t>
  </si>
  <si>
    <t>to floors level; internal</t>
  </si>
  <si>
    <t>ELEMENT NO.6</t>
  </si>
  <si>
    <t>STEEL LADDER</t>
  </si>
  <si>
    <t xml:space="preserve">Supply and Provide 3m and 500mm wide Vertical </t>
  </si>
  <si>
    <t xml:space="preserve">ladder with railings on both sides to access </t>
  </si>
  <si>
    <t>the Observation Post</t>
  </si>
  <si>
    <t>ELEMENT NO.7</t>
  </si>
  <si>
    <t>LIGHTING</t>
  </si>
  <si>
    <t xml:space="preserve">Supply all materials and mount 4 LED 150W floodlights </t>
  </si>
  <si>
    <t>on either side of the towers</t>
  </si>
  <si>
    <t>Page Total Brought Forward</t>
  </si>
  <si>
    <t>Plastic sheeting</t>
  </si>
  <si>
    <t>200mm thick normal soil backfill</t>
  </si>
  <si>
    <t>Page Total Carried Forward</t>
  </si>
  <si>
    <t>Solar Streetlights</t>
  </si>
  <si>
    <t>TOTAL CARRIED TO MAIN SUMMARY</t>
  </si>
  <si>
    <t>PROPOSED WOMEN TRANSITION CENTER  BAIDOA</t>
  </si>
  <si>
    <t>PROPOSED WOMEN TRANSITION CENTER BAIDOA</t>
  </si>
  <si>
    <t xml:space="preserve">Site Clearance </t>
  </si>
  <si>
    <t>Excavate for foundation not exceeding 0.3</t>
  </si>
  <si>
    <t>Extra over for excavation in rock</t>
  </si>
  <si>
    <t>Ditto Column bases</t>
  </si>
  <si>
    <t xml:space="preserve">100mm blinding </t>
  </si>
  <si>
    <t xml:space="preserve">maximum aggregate size in as described, in:- </t>
  </si>
  <si>
    <t>COLUMNS</t>
  </si>
  <si>
    <t>Columns bases</t>
  </si>
  <si>
    <t>Starter columns</t>
  </si>
  <si>
    <t>Columns (Height 6m)</t>
  </si>
  <si>
    <t>High yield square twisted reinforcement bars to B.S 4461 including cutting bending and tying</t>
  </si>
  <si>
    <t xml:space="preserve">Y12 (Nominal Diameter 12mm) bars as main bars, </t>
  </si>
  <si>
    <t>Cross-Sectional Area (113mm2), Mass per unit length (0.888kg/m)</t>
  </si>
  <si>
    <t xml:space="preserve">R8 (Nominal Diameter 8mm) bars as rings, </t>
  </si>
  <si>
    <t>Cross-Sectional Area (50.3mm2), Mass per unit length (0.395kg/m)</t>
  </si>
  <si>
    <t>Cross-Sectional Area (201mm2), Mass per unit length (1.579kg/m)</t>
  </si>
  <si>
    <t>Y12 (Nominal Diameter 12mm) bars as main bars tops 2</t>
  </si>
  <si>
    <t>Ditto to sides and soffits of base slab</t>
  </si>
  <si>
    <t>Ditto to walls</t>
  </si>
  <si>
    <t>200 mm thick reinforced wall</t>
  </si>
  <si>
    <t>25mm Thick cement/sand (1:4) screed finish</t>
  </si>
  <si>
    <t>Floor slab</t>
  </si>
  <si>
    <t>wood float to:-</t>
  </si>
  <si>
    <t>Ditto for columns</t>
  </si>
  <si>
    <t xml:space="preserve">Galvanized Mild Steel pipes class "B" medium thickness with and </t>
  </si>
  <si>
    <t>including jointing, fittings and fixe as described</t>
  </si>
  <si>
    <t>Supply and install 50mm diameter inlet pipe 800mm long</t>
  </si>
  <si>
    <t>Supply and install 50mm diameter draw off pipe Ditto</t>
  </si>
  <si>
    <t>Supply and install 50mm diameter overflow pipe Ditto</t>
  </si>
  <si>
    <t>Supply and install 75mm diameter scour pipe Ditto</t>
  </si>
  <si>
    <t>Supply and install 20mm diameter brass gate valve with wheel and head</t>
  </si>
  <si>
    <t>Supply and install 20mm diameter stop corks</t>
  </si>
  <si>
    <t>Supply and install 600x600x6mm heavy gauge steel primed metal manhole cover on slab with and including metal framing all around</t>
  </si>
  <si>
    <t>Supply and install 20mm Diameter bars, ‘U’ shaped to form steps with ends embedded into retaining wall, average length 450mm</t>
  </si>
  <si>
    <t>ELEMENT 6: GATES</t>
  </si>
  <si>
    <t>STEEL FRAME</t>
  </si>
  <si>
    <t xml:space="preserve">with three layers that is bonded by 2'' (50mm) dia. </t>
  </si>
  <si>
    <t>Pipe as Per drawing.</t>
  </si>
  <si>
    <t xml:space="preserve">Supply and Provide C Section Steel strips for fastening </t>
  </si>
  <si>
    <t>the Steel Barrier.</t>
  </si>
  <si>
    <t xml:space="preserve">Supply and Provide Plate for filling mass Concrete to </t>
  </si>
  <si>
    <t>Balance the Steel Barrier.</t>
  </si>
  <si>
    <t>MASS CONCRETE FRAME</t>
  </si>
  <si>
    <t xml:space="preserve">Fill the Box with Mass Concrete </t>
  </si>
  <si>
    <t xml:space="preserve">Allow a provisional sum for painting and </t>
  </si>
  <si>
    <t>the Steel Barriers on site</t>
  </si>
  <si>
    <r>
      <t>m</t>
    </r>
    <r>
      <rPr>
        <vertAlign val="superscript"/>
        <sz val="11"/>
        <color indexed="8"/>
        <rFont val="Calibri"/>
        <family val="2"/>
        <scheme val="minor"/>
      </rPr>
      <t>2</t>
    </r>
  </si>
  <si>
    <t>Load, wheel and cart deposit and spread surplus excavated material where directed on site at a distance not exceeding  100 meters</t>
  </si>
  <si>
    <t xml:space="preserve">Supply and install following lighting fixtures with all accessories as per the specifications and drawings and complete with lamp fitting and accessories of Engineer or approved make. </t>
  </si>
  <si>
    <t>Sum</t>
  </si>
  <si>
    <t xml:space="preserve">Item </t>
  </si>
  <si>
    <t>Qty</t>
  </si>
  <si>
    <t>Formwork</t>
  </si>
  <si>
    <t>lm</t>
  </si>
  <si>
    <t>Description</t>
  </si>
  <si>
    <t>Total Cost</t>
  </si>
  <si>
    <t>Rate</t>
  </si>
  <si>
    <t>TOTAL</t>
  </si>
  <si>
    <t>ELEMENT NO. 1 : SUB-STRUCTURES (all provisional)</t>
  </si>
  <si>
    <t>Excavate over site 200 mm deep to remove vegetable soil and cart away to spoil heap where directed on site</t>
  </si>
  <si>
    <t>To the edges of ground slabs 100 - 200mm wide</t>
  </si>
  <si>
    <t>Reinforcement</t>
  </si>
  <si>
    <t>Mesh reinforcement reference A142 weighing 2.22kg/m2 in ground slabs</t>
  </si>
  <si>
    <t>Concrete Works</t>
  </si>
  <si>
    <t>150 mm Ground floor slab</t>
  </si>
  <si>
    <t>Floor Finish</t>
  </si>
  <si>
    <t>Cement and sand (1:3) screeds</t>
  </si>
  <si>
    <t xml:space="preserve">25mm Thick cement/sand (1:4) screed steel trowelled </t>
  </si>
  <si>
    <t>Construct to specification steps and rumps as indicated on the drawing</t>
  </si>
  <si>
    <t>Excavate 1.5m diameter x 3.5m depth pit each</t>
  </si>
  <si>
    <t>TOTAL CARRIED TO GRAND SUMMARY</t>
  </si>
  <si>
    <t>Reference A142 mesh 200 x 200 mm , weight 2.22 kgs per square meter ( measured net - no allowance made for laps (inclunding bends, tying wire and distance blocks)</t>
  </si>
  <si>
    <t xml:space="preserve"> Fixed to fascia board (ms)</t>
  </si>
  <si>
    <t>Watering &amp; compacting for the foundation bed</t>
  </si>
  <si>
    <t>Laying 100 mm Thick blinding layer under foundation wall as the foundation bed</t>
  </si>
  <si>
    <t xml:space="preserve">Construction rubble stone foundation wall of 400mm thick in cement and sand (1:3) mortar </t>
  </si>
  <si>
    <t>Reinforced cement concrete ground beam as described</t>
  </si>
  <si>
    <t xml:space="preserve"> vibrated R.c.c class 25</t>
  </si>
  <si>
    <t>Form to Work</t>
  </si>
  <si>
    <t>400X200mm Ground beam</t>
  </si>
  <si>
    <t>vibrated R.c.c class 25</t>
  </si>
  <si>
    <t>400X200mm Tie beam beam</t>
  </si>
  <si>
    <t>Element No.3 Finishing Work</t>
  </si>
  <si>
    <t>Prepare and apply 3coats weatherguard paint to rendered walls</t>
  </si>
  <si>
    <t xml:space="preserve">Construction of rubble stone fence wall of 400mm thick &amp; 4m average height in cement and sand (1:3) mortar </t>
  </si>
  <si>
    <t>200mm thick Ring Beam</t>
  </si>
  <si>
    <t>25mm cement sand two coat render to walls with wood float finish. Both internally and externally</t>
  </si>
  <si>
    <t>3.1.1</t>
  </si>
  <si>
    <t>3.1.2</t>
  </si>
  <si>
    <t>3.1.3</t>
  </si>
  <si>
    <t>3.1.4</t>
  </si>
  <si>
    <t>3.1.5</t>
  </si>
  <si>
    <t>3.1.6</t>
  </si>
  <si>
    <t>3.1.7</t>
  </si>
  <si>
    <t>3.1.8</t>
  </si>
  <si>
    <t>3.1.9</t>
  </si>
  <si>
    <t>3.1.10</t>
  </si>
  <si>
    <t>3.1.11</t>
  </si>
  <si>
    <t>3.1.13</t>
  </si>
  <si>
    <r>
      <t>m</t>
    </r>
    <r>
      <rPr>
        <vertAlign val="superscript"/>
        <sz val="11"/>
        <color indexed="8"/>
        <rFont val="Calibri"/>
        <family val="2"/>
      </rPr>
      <t>2</t>
    </r>
  </si>
  <si>
    <r>
      <t>m</t>
    </r>
    <r>
      <rPr>
        <vertAlign val="superscript"/>
        <sz val="11"/>
        <color indexed="8"/>
        <rFont val="Calibri"/>
        <family val="2"/>
      </rPr>
      <t>3</t>
    </r>
  </si>
  <si>
    <t>25 x 200mm Ridge board</t>
  </si>
  <si>
    <t>Rainwater disposal</t>
  </si>
  <si>
    <t xml:space="preserve">Extra over ditto for 600mm swanneck projection </t>
  </si>
  <si>
    <t>Ditto shoe</t>
  </si>
  <si>
    <t>Knot, prime, stop and apply 3 coats oil paint externally to:</t>
  </si>
  <si>
    <t>Metal gutter</t>
  </si>
  <si>
    <t>3.3.1</t>
  </si>
  <si>
    <t>3.3.2</t>
  </si>
  <si>
    <t>Work tops and Bottom Cabinets</t>
  </si>
  <si>
    <t>3.9.1</t>
  </si>
  <si>
    <t xml:space="preserve">Construct 200mm thick 800mm high massonry walls forkitchen platfor  support </t>
  </si>
  <si>
    <t>3.9.2</t>
  </si>
  <si>
    <t>Concrete class 20 in 50mm thick plinth and work top</t>
  </si>
  <si>
    <t>3.9.3</t>
  </si>
  <si>
    <t xml:space="preserve">No. A 142 Fabric mesh reinforcement weighing 2.22 kg per metre square fixed in slab </t>
  </si>
  <si>
    <t>3.9.4</t>
  </si>
  <si>
    <t>Formwork to  of slab</t>
  </si>
  <si>
    <t>3.9.5</t>
  </si>
  <si>
    <t>Formwork to edge of slab. 50mm high</t>
  </si>
  <si>
    <t>3.9.6</t>
  </si>
  <si>
    <t xml:space="preserve">Plaster to soffit of slab and bottom </t>
  </si>
  <si>
    <t>3.9.7</t>
  </si>
  <si>
    <t>Ceramic tiles to worktop including screed</t>
  </si>
  <si>
    <t>3.9.8</t>
  </si>
  <si>
    <t>Veneered mahogany 20mm thick in cupboard doors, divisions and shelves</t>
  </si>
  <si>
    <t>Malpa Hinges</t>
  </si>
  <si>
    <t>Pairs</t>
  </si>
  <si>
    <t>3.9.10</t>
  </si>
  <si>
    <t>Allow for fitting sink to worktop</t>
  </si>
  <si>
    <t>3.9.11</t>
  </si>
  <si>
    <t xml:space="preserve">Supply and apply three coats of gloss paint as finish </t>
  </si>
  <si>
    <t>Total: Work tops and Bottom Cabinets</t>
  </si>
  <si>
    <t>Over head Cabinets</t>
  </si>
  <si>
    <t>MDF for bearers, support cupboard doors and division and shelves nailed and hang as per the drawings</t>
  </si>
  <si>
    <t xml:space="preserve">Supply and fix malpa hinges </t>
  </si>
  <si>
    <t>Boarding</t>
  </si>
  <si>
    <t xml:space="preserve">WROT CYPRESS, Prime Grade </t>
  </si>
  <si>
    <t>32 x 250 mm Fascia board fixed to rafters</t>
  </si>
  <si>
    <t>Ditto but 3 coats gloss oil paint to fascia board 100-200mm girth</t>
  </si>
  <si>
    <t>TOILET PIT</t>
  </si>
  <si>
    <t xml:space="preserve">Stripping of surface and excavation for latrine pit in soft soil up to depth of </t>
  </si>
  <si>
    <t>approximately 1.8m; pit dimensions: 2m width x 4m length</t>
  </si>
  <si>
    <t>Excavation for latrine pit in hard rock at a depth approximately starting at 1.8 M</t>
  </si>
  <si>
    <t xml:space="preserve">Reinforced concrete class 25, </t>
  </si>
  <si>
    <t>Reinforcement, as described (PROVISIONAL)</t>
  </si>
  <si>
    <t>High yield square twisted reinforcement to BS 4461</t>
  </si>
  <si>
    <t>10mm high tensile square twisted bars; cold worked; BS4461 including bends, hooks, tying wire, distance blocks and spacers for bottom slab; Y10@ 200mm c/c .</t>
  </si>
  <si>
    <t>Supply and fix sawn formwork to sides of bottom slab</t>
  </si>
  <si>
    <t>L.M</t>
  </si>
  <si>
    <t xml:space="preserve">200x400mm block walling bedded and jointed in </t>
  </si>
  <si>
    <t>Sub-Structure walling</t>
  </si>
  <si>
    <t xml:space="preserve">Supply all materials and cast a 125mm thick vibrated reinforced </t>
  </si>
  <si>
    <t xml:space="preserve">concrete slab, mix1:2:4 or class 20/20. Top slab dimensions 2.5m x 5.0m </t>
  </si>
  <si>
    <t xml:space="preserve">10mm high tensile square twisted bars; cold worked; BS4461 </t>
  </si>
  <si>
    <t xml:space="preserve">including bends, hooks, tying wire, distance blocks and spacers for </t>
  </si>
  <si>
    <t>top slab; Y10@ 200mm c/c .</t>
  </si>
  <si>
    <t>Supply and fix sawn formwork beneath the slab</t>
  </si>
  <si>
    <t>Manhole frame and covers</t>
  </si>
  <si>
    <t>Pcs.</t>
  </si>
  <si>
    <t>Tank piping, fittings and accessories which includes among others ring bearers anchored in the wall and a 2.5 m heigh 4'' vent pipe with rain cower and fly net</t>
  </si>
  <si>
    <t>4" brown sewer pipes with accessories laid with 1% slope in trench of 0.5 to 0.8 m depth</t>
  </si>
  <si>
    <t>Supply all materials and cast R.C. buffer beam, 100mm wide x 450mm deep, concrete class 20</t>
  </si>
  <si>
    <t>12mm high tensile square twisted bars; cold worked; BS4461 including bends, hooks, tying wire, distance blocks and spacers for ring beam reinforcement, 4Y12</t>
  </si>
  <si>
    <t>13mm thick two coat cement sand (1:3) plaster trowelled smooth and comprising 12mm backing and 3mm finishing coat for internal walls.</t>
  </si>
  <si>
    <t>130mm thick vibrated reinforced concrete for bottom slab (concrete class 20)</t>
  </si>
  <si>
    <t>Water Tanks</t>
  </si>
  <si>
    <t>Supply and fix No. 10000 L each plastic tanks</t>
  </si>
  <si>
    <t>SECTION 2: OFFICES</t>
  </si>
  <si>
    <t>SUB TOTAL CARRIED TO FORM OF TENDER</t>
  </si>
  <si>
    <t>TOTAL CARRIED TO FORM OF TENDER</t>
  </si>
  <si>
    <r>
      <rPr>
        <b/>
        <sz val="11"/>
        <rFont val="Calibri"/>
        <family val="2"/>
        <scheme val="minor"/>
      </rPr>
      <t>(CONTRACTOR)</t>
    </r>
    <r>
      <rPr>
        <sz val="11"/>
        <rFont val="Calibri"/>
        <family val="2"/>
        <scheme val="minor"/>
      </rPr>
      <t xml:space="preserve"> ……………………………………………………………………………………………………………………</t>
    </r>
  </si>
  <si>
    <r>
      <rPr>
        <b/>
        <sz val="11"/>
        <rFont val="Calibri"/>
        <family val="2"/>
        <scheme val="minor"/>
      </rPr>
      <t>(EMPLOYER )</t>
    </r>
    <r>
      <rPr>
        <sz val="11"/>
        <rFont val="Calibri"/>
        <family val="2"/>
        <scheme val="minor"/>
      </rPr>
      <t xml:space="preserve"> …………………………………………………………………………………………………………………………</t>
    </r>
  </si>
  <si>
    <t>Bill No. 2: Timber Walls</t>
  </si>
  <si>
    <t>Rails</t>
  </si>
  <si>
    <t>Ditto in intermediate and top rails nailed to timber posts (MS)</t>
  </si>
  <si>
    <t>T&amp;G as External Cladding</t>
  </si>
  <si>
    <t>Apply pinotech paint, or equal as a protective coat and a finish</t>
  </si>
  <si>
    <t>Internal Cladding</t>
  </si>
  <si>
    <t xml:space="preserve">Ceiling </t>
  </si>
  <si>
    <t>Prepare and apply 3 coats emulsion paint to soft board ceilings</t>
  </si>
  <si>
    <t>SAWN TREATED CYPRESS, Grade S50, pressure impregnated (Provisional)</t>
  </si>
  <si>
    <t>LT5 profile gauge 28 prepainted roofing sheets fixed to timber purlins</t>
  </si>
  <si>
    <t>25 x 150mm splice plates</t>
  </si>
  <si>
    <t xml:space="preserve">25x50mm tongued and grooved boarding to eaves  </t>
  </si>
  <si>
    <t>Knot, prime, stop and apply 3 coats polyurethane varnish to eaves boarding</t>
  </si>
  <si>
    <t>150x150mm 24gauge galvanized mild steel box gutter with galvanized steel brackets at 600mm centers</t>
  </si>
  <si>
    <t>Prepare and apply bituminous paint to inside of gutter</t>
  </si>
  <si>
    <t>Wrought hardwood door frames and finishing EX 50x150mm rebated and chamfered to detail</t>
  </si>
  <si>
    <t>20mm quadrant plugged</t>
  </si>
  <si>
    <t>Ditto but for architraves</t>
  </si>
  <si>
    <t>Ironmongery</t>
  </si>
  <si>
    <t>Supply and fix the following to UNION or other equal and approved including matching screws</t>
  </si>
  <si>
    <t>3-lever mortice lock with brass handles</t>
  </si>
  <si>
    <t>100x75mm heavy duty brass butt hinges</t>
  </si>
  <si>
    <t>PRS</t>
  </si>
  <si>
    <t>Black rubber floor mounted doorstop</t>
  </si>
  <si>
    <t>Painting and Decoration</t>
  </si>
  <si>
    <t>Knot, prime, stop and apply 3 coats polyurethane clear varnish to all timber surfaces above.</t>
  </si>
  <si>
    <t>Supply and fix anodised aluminium windows complete with glazing, and burglar proof, 1.4 x 1.4m high</t>
  </si>
  <si>
    <t>Cement and sand (1:3) screed, backing, beds etc.</t>
  </si>
  <si>
    <t>20mm bed finished to receive Non-slip ceramic  floor  tiles (m.s)</t>
  </si>
  <si>
    <r>
      <t>m</t>
    </r>
    <r>
      <rPr>
        <vertAlign val="superscript"/>
        <sz val="12"/>
        <color indexed="8"/>
        <rFont val="Calibri"/>
        <family val="2"/>
      </rPr>
      <t>2</t>
    </r>
  </si>
  <si>
    <t xml:space="preserve"> Non-slip ceramic  floor  tile</t>
  </si>
  <si>
    <t>300X300 x 8 mm thick coloured Ceramic Tiles laid to pattern and shape</t>
  </si>
  <si>
    <t>Supply and installation of fused shuttered switched socket outlet to comply with relevant BS standard (Clipsal, Orange, Crabtree/ Tenby/ABB or equivalent). Wiring (including supply of earth wire and all other material required) of above socket outlet using approved type 2.5mm² PVC/PVC copper cable and 2.5mm² earth wire  drawn through securely fixed concealed PVC conduit in a ring circuit.</t>
  </si>
  <si>
    <t>Unit of 6000 BTUs per hour, with EER 2-3, Cooling capacity 2,700-3000W low noise level and UTR Compressor, minimum warranty 5 years plus as described and shown on drawings. Include required accessories and fittings, mounting should be at least 600mm off the ground.</t>
  </si>
  <si>
    <t>no</t>
  </si>
  <si>
    <t>2.2.1</t>
  </si>
  <si>
    <t>2.2.2</t>
  </si>
  <si>
    <t>2.1.1</t>
  </si>
  <si>
    <t>2.1.2</t>
  </si>
  <si>
    <t>2.1.3</t>
  </si>
  <si>
    <t>2.1.4</t>
  </si>
  <si>
    <t>2.1.5</t>
  </si>
  <si>
    <t>2.1.6</t>
  </si>
  <si>
    <t xml:space="preserve">12mm chip board as internal lining to all external walls, and to partitions both sides. </t>
  </si>
  <si>
    <t>2.1.7</t>
  </si>
  <si>
    <t>2.1.8</t>
  </si>
  <si>
    <t>2.1.9</t>
  </si>
  <si>
    <t>2.1.10</t>
  </si>
  <si>
    <t>2.2.3</t>
  </si>
  <si>
    <t>2.2.4</t>
  </si>
  <si>
    <t>2.3.1</t>
  </si>
  <si>
    <t>2.3.2</t>
  </si>
  <si>
    <t>2.3.3</t>
  </si>
  <si>
    <t>2.3.4</t>
  </si>
  <si>
    <t>TIMBER STRUCTURE</t>
  </si>
  <si>
    <t>Total for Substructure Carried to Summary</t>
  </si>
  <si>
    <t>BILL SUMMARY</t>
  </si>
  <si>
    <t>Windows</t>
  </si>
  <si>
    <t xml:space="preserve"> Doors</t>
  </si>
  <si>
    <t>TOTAL FOR OFFICES CARRIED TO GRAND SUMMARY</t>
  </si>
  <si>
    <t>3.9.9</t>
  </si>
  <si>
    <t>3.9.12</t>
  </si>
  <si>
    <t>3.9.13</t>
  </si>
  <si>
    <t>3.9.14</t>
  </si>
  <si>
    <t>QNTY</t>
  </si>
  <si>
    <t>Ring beam 2</t>
  </si>
  <si>
    <t xml:space="preserve">Total </t>
  </si>
  <si>
    <t>Carried to Collection</t>
  </si>
  <si>
    <t>MAIN SUMMARY</t>
  </si>
  <si>
    <t>ELEMENT No.</t>
  </si>
  <si>
    <t>2/8</t>
  </si>
  <si>
    <t>3/8</t>
  </si>
  <si>
    <t>4/8</t>
  </si>
  <si>
    <t>5/8</t>
  </si>
  <si>
    <t>6/8</t>
  </si>
  <si>
    <t>8/8</t>
  </si>
  <si>
    <t>PROPOSED  STREETLIGHT INSTALLATION</t>
  </si>
  <si>
    <r>
      <t>m</t>
    </r>
    <r>
      <rPr>
        <vertAlign val="superscript"/>
        <sz val="11"/>
        <color indexed="8"/>
        <rFont val="Calibri"/>
        <family val="2"/>
        <scheme val="minor"/>
      </rPr>
      <t>3</t>
    </r>
    <r>
      <rPr>
        <sz val="11"/>
        <color theme="1"/>
        <rFont val="Calibri"/>
        <family val="2"/>
        <scheme val="minor"/>
      </rPr>
      <t/>
    </r>
  </si>
  <si>
    <t>Gladiator or equal and approved chemical anti-termite treatment, executed complete by an approved specialist  under a ten-year guarantee, to surfaces of blinding</t>
  </si>
  <si>
    <t>Timber framing</t>
  </si>
  <si>
    <t xml:space="preserve">Supply and fix 50x100mm bottom rail fixed to concrete floor and timber  columns, </t>
  </si>
  <si>
    <t>Supply and fix 100x25mm T&amp;G cypress timber, nailed to the timber framework externally and to concrete floor</t>
  </si>
  <si>
    <t>75x50mm internal members</t>
  </si>
  <si>
    <t>100 x 50 mm as truss external members</t>
  </si>
  <si>
    <t>ELEMENT NO. 2: SUPER STRUCTURE</t>
  </si>
  <si>
    <t>Total Carried to Summary</t>
  </si>
  <si>
    <t>ELEMENT NO. 3: ELECTRICAL INSTALLATIONS AND SERVICES</t>
  </si>
  <si>
    <t xml:space="preserve">Total Carried to Summary </t>
  </si>
  <si>
    <t xml:space="preserve">Total  Carried Summary </t>
  </si>
  <si>
    <t xml:space="preserve">Total  carried to  Summary </t>
  </si>
  <si>
    <t>Total  Carried  Summary</t>
  </si>
  <si>
    <t>Demolition of all existing structures including the damaged flag post platform</t>
  </si>
  <si>
    <t>Excavate 400mm deep for hollow block foundation by 400mm wide</t>
  </si>
  <si>
    <t>Construct of 200mm thick hollow block foundation 600mm high</t>
  </si>
  <si>
    <t>Clear site of all bushes and debris burn the arising</t>
  </si>
  <si>
    <t>Hard-core or other approved filling, as described</t>
  </si>
  <si>
    <t>300mm thick approved  hard-core filling compacted and laid in layers not exceeding 150 mm thick</t>
  </si>
  <si>
    <t xml:space="preserve">50mm thick Quarry dust  blinding to surfaces of hard-core :rolled smooth to receive polytheen sheeting (m.s) </t>
  </si>
  <si>
    <t>1000 gauge polythene or other equal and approved damp-proof membrane, laid over blinded hard-core (m.s) with 300mm side and end laps (measured nett-allow for laps)</t>
  </si>
  <si>
    <t>All timber in walls shall be cypress, impregnated with approved antitermite treatment and well cured.</t>
  </si>
  <si>
    <t>Prepare and apply 3 coats emulsion paint to soft board internal lining</t>
  </si>
  <si>
    <t>Supply and fix soft board as ceiling to and including 50 x 50 mm cypress brandering at 600mm c/c both ways</t>
  </si>
  <si>
    <t>1200mm Energy saving fluorescent tube lighting</t>
  </si>
  <si>
    <t>Wiring and installation (including supply of all materials) of the light points using approved type PVC insulated PVC sheathed 1.5 mm² copper cables and 2.5mm² earth cable drawn through securely fixed concealed PVC conduit, to the walls and slab surfaces Socket outlet points</t>
  </si>
  <si>
    <t>Supply and install following overhead electrical fans with all accessories prices must include all materials, installation, testing and commissioning</t>
  </si>
  <si>
    <t>Supply, fix and commission air conditioning units of Samsung, Daikin, LG or equivalent and approved split air conditioning units including all accessories</t>
  </si>
  <si>
    <t xml:space="preserve">Provisional Sum of 3500 USD for connecting power Supply and for connecting electricity to each unit and for any other power related items inadvertently omitted. </t>
  </si>
  <si>
    <t>Construct 1 No continuous concrete bench consisting of 400x2000x100mm thick reinforced concrete slab with T8 @ 200mm C/C on double 200mm thick by 400mm high  block wall with an extra 400mm bellow the ground .  Construct also 800mm high by 200mm thick by 2000mm long  block wall for the support of plumbing and water tap.  Fill the area between the wall and the bench  with hard-core and 100mm thick reinforced concrete slab with T8 200mm C/C 2000mm long at the top and   steel trowel to a  smooth finish. Fix 3No. taps to specification. Tile all areas in contact with water including the bench.</t>
  </si>
  <si>
    <t>Backfill with well packed approved hard-core to 2m depth</t>
  </si>
  <si>
    <t>Offices, Trainign Centers and Library Block</t>
  </si>
  <si>
    <t>Prayer Room, Kitchen, Dining and Material Storage Block</t>
  </si>
  <si>
    <t>3.3.3</t>
  </si>
  <si>
    <t>3.3.4</t>
  </si>
  <si>
    <t>SECTION 3: KITCHEN, DINNING AND PRAYER ROOM</t>
  </si>
  <si>
    <t>2.1.11</t>
  </si>
  <si>
    <t>2.1.12</t>
  </si>
  <si>
    <t>3.1.12</t>
  </si>
  <si>
    <t>Solid hardwood single leaf panel door 45mm thick overall size 900x2100mm (both faces panelled)</t>
  </si>
  <si>
    <t>Solid hardwood doubleleaf panel door 45mm thick overall size 1800x2100mm (both faces panelled)</t>
  </si>
  <si>
    <t>supply and fix one overhead chimney over fire place including ventint, connection and making good all cut surfaces</t>
  </si>
  <si>
    <t>supply and fix hand washing basin including all fittings and two water tals in each</t>
  </si>
  <si>
    <t>Construct to specification three fire places as indicated on the drawing</t>
  </si>
  <si>
    <t>4..1.8</t>
  </si>
  <si>
    <t>4..3.4.8</t>
  </si>
  <si>
    <t>4..3.4.9</t>
  </si>
  <si>
    <t>4..3.30</t>
  </si>
  <si>
    <t>4..3.31</t>
  </si>
  <si>
    <t>4..3.34.</t>
  </si>
  <si>
    <t>4..3.33</t>
  </si>
  <si>
    <t xml:space="preserve">Demolition of all existing structures </t>
  </si>
  <si>
    <t>Demolition of all existing structures</t>
  </si>
  <si>
    <t>50x 100mm treated timber columns along all walls with a maximum spacing of 1500mm. The columns should be cast with concrete into the hollow block foundation.</t>
  </si>
  <si>
    <t>75 x 50 mm as truss external members</t>
  </si>
  <si>
    <t>50x50mm internal members</t>
  </si>
  <si>
    <t>50x50mm purlins</t>
  </si>
  <si>
    <t>Solid hardwood single leaf panel door 45mm thick overall size 800x2100mm (both faces panelled)</t>
  </si>
  <si>
    <t>ELEMENT NO. 4: MECHANICAL INSTALLATIONS AND SERVICES</t>
  </si>
  <si>
    <t>PLUMBING</t>
  </si>
  <si>
    <t xml:space="preserve">COLD WATER DISTRIBUTION </t>
  </si>
  <si>
    <t>Supply and install INDO GREEN PPR pipe to DIN 8077,8078 manufactured as per DIN 16962 and conforming to ISO and EN 15874 standard. All pipe and fitting to conform to PN25</t>
  </si>
  <si>
    <t>Lm</t>
  </si>
  <si>
    <t>25 mm diameter ditto</t>
  </si>
  <si>
    <t>Extra Over Tubbing For:</t>
  </si>
  <si>
    <t>BEND /ELBOWS</t>
  </si>
  <si>
    <t>25mm diameter</t>
  </si>
  <si>
    <t xml:space="preserve"> Tee</t>
  </si>
  <si>
    <t>GATE VALVES</t>
  </si>
  <si>
    <t>Ditto but 25mm diameter</t>
  </si>
  <si>
    <t xml:space="preserve"> Set </t>
  </si>
  <si>
    <t>Pressure booster pump set as Grundfos or equal and approved. Pump: CH2-30   Flow rate: 2m3/hr Complete with 60 litres pressure vessel</t>
  </si>
  <si>
    <t>3,000 litres Cold water tanks as roto, dimensions 1610 mm diameter X1520mm high</t>
  </si>
  <si>
    <t>SOIL AND WASTE DRAINAGE</t>
  </si>
  <si>
    <t xml:space="preserve">                   -   </t>
  </si>
  <si>
    <t>Supply and install the following soil and waste system of pipe and fittings to BS 4514 with the installation of fittings done to manufacturers instruction and BS 5572 1978 as manufactured by "key" terrain" or any other manufacturer approved by the Project Manager. Tenderers must allow in the pipe work prices for all couplings connectors inspection covers, jointings roding eyes pipe fastenings including clips, holderbat sets, and plugging required for the proper and satisfactory functioning system</t>
  </si>
  <si>
    <t>100.4.40 Pipe</t>
  </si>
  <si>
    <t>Lm.</t>
  </si>
  <si>
    <t>200.2.40 ditto</t>
  </si>
  <si>
    <t>200.15.40 ditto</t>
  </si>
  <si>
    <t>200.125.40 ditto</t>
  </si>
  <si>
    <t>Extra Over Pipe For:-</t>
  </si>
  <si>
    <t>1801.4.87 bend</t>
  </si>
  <si>
    <t>180.4.87 long radius bend</t>
  </si>
  <si>
    <t>1848.4 WC connector</t>
  </si>
  <si>
    <t>1849.4. "P" trap</t>
  </si>
  <si>
    <t>1811.4 lip seal connectors</t>
  </si>
  <si>
    <t>102.4.5. connecting bend</t>
  </si>
  <si>
    <t>201.2.91 sweep bend</t>
  </si>
  <si>
    <t>201.15.40 ditto</t>
  </si>
  <si>
    <t>201.125.40 ditto</t>
  </si>
  <si>
    <t>204.125.135 ditto</t>
  </si>
  <si>
    <t>279.2 trapped floor gulley</t>
  </si>
  <si>
    <t>282.6 floor gulley inlet</t>
  </si>
  <si>
    <t>149.14.22 weathering slate</t>
  </si>
  <si>
    <t>150.6 vent cowl</t>
  </si>
  <si>
    <t>Construct a standard 600x450mm Manhole complete with heavy duty manhole cover</t>
  </si>
  <si>
    <t>Gulley traps complete with covers</t>
  </si>
  <si>
    <t>SANITARY FITTINGS</t>
  </si>
  <si>
    <t>PROVIDE RATES FOR SUPPLY, FIXING &amp; TESTING THE FOLLOWING SANITARY FITTINGS</t>
  </si>
  <si>
    <t>Twyfords Envy btw wash down W.C suite with horizontal outlet in Vitreous China comprising of WC pan REF. NV1438WH seat and soft closing cover NV7995WH, Chrome plate hinges, WC outlet Connector P trap or equal and approved.</t>
  </si>
  <si>
    <t>Twyfords concealled pattern Chrome plated flush valve No SF 9303CP complete with flow regulator, flush bend and WC Inlet Connector and waste.</t>
  </si>
  <si>
    <t xml:space="preserve">Chrome plated coat hook for wall mounting </t>
  </si>
  <si>
    <t>Arabic shower complete with all the accessories</t>
  </si>
  <si>
    <t>Twyfords 165 x 165mm build-in toilet roll holder No. VC 9336 WH (to be installed next to every WC pan).</t>
  </si>
  <si>
    <t>Twyfords Envy 500 pedestal wash handbasin No. NV4811WH to BS 3402 comprising: - single centre tap hole, in Vitreous China Ref. WB575100, chain &amp; stay hole, fixing brackets Chrome plated beaded chain waste11/4 waste WF 4330 CP Chrome plated bottle "P' trap 1-1/4 " WF 8482 XX on a pedestal stand NV4910WH</t>
  </si>
  <si>
    <t>Cobra push tap with delay or equal and approved,</t>
  </si>
  <si>
    <t xml:space="preserve">Soap Dispenser 
Wall mounted Soap dispenser with a capacity of about one Litre having a press action Soap release mechanism complete with fixing screws. As starmix or approved equivalent
</t>
  </si>
  <si>
    <t>WALL MIRRORS Twyford bevelled edge polished glass mirror size 900 x 600 x 6mm thick with silver backing with chromium plated dome shaped nuts and brass screws plugged.</t>
  </si>
  <si>
    <t>Allow a sum for connecting to septic tank, testing and commissioning of the drainage system to approval of the Project Manager</t>
  </si>
  <si>
    <t>Total Carried to Next page</t>
  </si>
  <si>
    <t>TOTAL FOR TOILETS CARRIED TO GRAND SUMMARY</t>
  </si>
  <si>
    <t>SECTION 5: TOILETS</t>
  </si>
  <si>
    <t>TOILETS</t>
  </si>
  <si>
    <t>5..1</t>
  </si>
  <si>
    <t>5..1.1</t>
  </si>
  <si>
    <t>5..1.5.</t>
  </si>
  <si>
    <t>5..1.3</t>
  </si>
  <si>
    <t>5..1.4</t>
  </si>
  <si>
    <t>5..1.5</t>
  </si>
  <si>
    <t>5..1.6</t>
  </si>
  <si>
    <t>5..1.7</t>
  </si>
  <si>
    <t>5..1.8</t>
  </si>
  <si>
    <t>5..1.9</t>
  </si>
  <si>
    <t>5..1.10</t>
  </si>
  <si>
    <t>5..1.11</t>
  </si>
  <si>
    <t>5..1.15.</t>
  </si>
  <si>
    <t>5..1.13</t>
  </si>
  <si>
    <t>5.2.1</t>
  </si>
  <si>
    <t>5.2.3</t>
  </si>
  <si>
    <t>5.2.4</t>
  </si>
  <si>
    <t>5.2.5</t>
  </si>
  <si>
    <t>5.2.6</t>
  </si>
  <si>
    <t>5.2.7</t>
  </si>
  <si>
    <t>5.2.8</t>
  </si>
  <si>
    <t>5.2.9</t>
  </si>
  <si>
    <t>Roof</t>
  </si>
  <si>
    <t>5.2.10</t>
  </si>
  <si>
    <t>5.2.11</t>
  </si>
  <si>
    <t>5.2.12</t>
  </si>
  <si>
    <t>5.2.13</t>
  </si>
  <si>
    <t>5.2.14</t>
  </si>
  <si>
    <t>5.2.15</t>
  </si>
  <si>
    <t>5.2.16</t>
  </si>
  <si>
    <t>5.2.18</t>
  </si>
  <si>
    <t>5.2.19</t>
  </si>
  <si>
    <t>5.2.20</t>
  </si>
  <si>
    <t>5.2.21</t>
  </si>
  <si>
    <t>5.2.22</t>
  </si>
  <si>
    <t>5.2.23</t>
  </si>
  <si>
    <t>5.2.24</t>
  </si>
  <si>
    <t>5.2.25</t>
  </si>
  <si>
    <t>5.2.26</t>
  </si>
  <si>
    <t>5.2.27</t>
  </si>
  <si>
    <t>5.2.28</t>
  </si>
  <si>
    <t>5.2.30</t>
  </si>
  <si>
    <t>5.2.31</t>
  </si>
  <si>
    <t>5.2.32</t>
  </si>
  <si>
    <t>5.2.33</t>
  </si>
  <si>
    <t>5.2.34</t>
  </si>
  <si>
    <t>5.2.35</t>
  </si>
  <si>
    <t>5.2.36</t>
  </si>
  <si>
    <t>5.2.37</t>
  </si>
  <si>
    <t>5.2.38</t>
  </si>
  <si>
    <t>5.2.39</t>
  </si>
  <si>
    <t>5.2.40</t>
  </si>
  <si>
    <t>5.3.1</t>
  </si>
  <si>
    <t>5.3.2</t>
  </si>
  <si>
    <t>5.4.1</t>
  </si>
  <si>
    <t>5.4.2</t>
  </si>
  <si>
    <t>5.1.3</t>
  </si>
  <si>
    <t>5.1.4</t>
  </si>
  <si>
    <t>5.1.5</t>
  </si>
  <si>
    <t>5.1.6</t>
  </si>
  <si>
    <t>SECTION 6: WATER STORAGE TANKS</t>
  </si>
  <si>
    <t>Construction of Perimeter fence 1m  off the from the nearest existing wall (255m long) This includes raising existing walls and repairing damaged walls.Total Height 3.5m</t>
  </si>
  <si>
    <t>200mm thick strip footing</t>
  </si>
  <si>
    <t>Excavation for foundation 1000mm deep &amp; 600mm wide</t>
  </si>
  <si>
    <t>Reinforced cement concrete strip footing as described</t>
  </si>
  <si>
    <t>500X200mm strip footing</t>
  </si>
  <si>
    <t>Formwork to R.C Wall</t>
  </si>
  <si>
    <t>1.3 Finishing Work</t>
  </si>
  <si>
    <t>Element No.1 Reinforced Concrete Wall along the road</t>
  </si>
  <si>
    <t>400 by 200mm thick  beam</t>
  </si>
  <si>
    <t>2.2 Super structure</t>
  </si>
  <si>
    <t>BAIDOA FEMALE TRANSITION CENTRE</t>
  </si>
  <si>
    <t xml:space="preserve">Supply solar panel lights packed with battery, light source socket, controller that regulates batteries and has a low voltage disconnect, light fixture, light fixture mounting bracket, battery box, and the entire solar lighting </t>
  </si>
  <si>
    <t xml:space="preserve">Assemble solar panel lights packed with battery, light source socket, controller that regulates batteries and has a low voltage disconnect, light fixture, light fixture mounting bracket, battery box, and the entire solar lighting mounted to a pole, together with the accessories, cables, etc. </t>
  </si>
  <si>
    <t>Fix or install solar panel lights packed with battery, light source socket, controller that regulates batteries and has a low voltage disconnect, light fixture, light fixture mounting bracket, battery box, and the entire solar lighting mounted to a pole, together with the accessories, cables, etc.</t>
  </si>
  <si>
    <t>SECTION 8: WATCH TOWERS</t>
  </si>
  <si>
    <t xml:space="preserve">SECTION 9: SOLAR STREETLIGHTS </t>
  </si>
  <si>
    <t>SECTION 10: SEPTIC TANK</t>
  </si>
  <si>
    <t xml:space="preserve">Double bowl double drainer stainless steel kitchen sink size 1200 x 600 with bowl size 400 x 340 x 150mm complete with 1 No. Bricon kitchen mixer and tap 40mm waste outlet chain and plug, overflow, 40mmtubular 'P' trap No. WF 8491XX.  Sink to be as "ASL"or equal and approved. The sink to be in heavy duty sheet. </t>
  </si>
  <si>
    <t>Return fill and ram and cartaway extra material to spoils</t>
  </si>
  <si>
    <t>3m height R.C</t>
  </si>
  <si>
    <t xml:space="preserve">Construction of reinforced concrete fence wall of 200mm thick &amp; 3.8 m high from the strip foundation  </t>
  </si>
  <si>
    <t>Class 25/20 Reinfoced concrete</t>
  </si>
  <si>
    <t xml:space="preserve">Reinforcement Steel </t>
  </si>
  <si>
    <t>Supply and fix T10 both ways at a spacing of 200cc</t>
  </si>
  <si>
    <t>HESCO FENCE</t>
  </si>
  <si>
    <t>6.1.1</t>
  </si>
  <si>
    <t>6.1.2</t>
  </si>
  <si>
    <t xml:space="preserve">Prepare Ground as per the structural drawing in readiness for hesco fence. </t>
  </si>
  <si>
    <t>Ditto but MIL 8 5448R with dimensions  1.37 height x 1.22 wide stacked on top of the  MIL 10</t>
  </si>
  <si>
    <t>Provide sand or appropriate material to fill in the hesco sacks, ensuring that the fence is upright and evenly filled to avoid bulging</t>
  </si>
  <si>
    <t>Razor Wire Fence</t>
  </si>
  <si>
    <t>6.2.1</t>
  </si>
  <si>
    <t>Supply and place angle posts 50x50x6mm, 1.5  m high, anchored on top of the hesco using 100mm dia uPVC pipes class D placed inside the sand filling, 500mm deep and filled with class 15 concrete (1:3:6). The distance of the angle posts should be 1.5m apart to hold 980mm razor wire (measured seperately), and should be lagged at the bottom for anchorage. Allow for drilling 4 No. holes per angle post</t>
  </si>
  <si>
    <t>6.2.2</t>
  </si>
  <si>
    <t>Supply and fix 12 Gauge 3mm strenghtening galvanised wire; 4 strands running through the angle posts for fastening razor wire (ms).The 12 Gauge galvanised wire should be tensioned so as have a minimum sag of 20mm from the horizontal.</t>
  </si>
  <si>
    <t>6.2.3</t>
  </si>
  <si>
    <t>Provide all material and construct a single row of 980mm diameter heavy duty cross type concertina wire to be laid on top of existing HESCO barrier</t>
  </si>
  <si>
    <t>Supply and fix Ø10mm  deformed bars 4T10</t>
  </si>
  <si>
    <t>Supply and fix Ø8mm  deformed bars T8 250 C/C</t>
  </si>
  <si>
    <t>Supply and fix Ø12mm  deformed bars 4T12</t>
  </si>
  <si>
    <t>Supply and place angle posts 50x50x6mm, 1.5  m high, anchored on the concrete rng beam. The distance of the angle posts should be 1.5m apart to hold 980mm razor wire (measured seperately), and should be lagged at the bottom for anchorage. Allow for drilling 4 No. holes per angle post</t>
  </si>
  <si>
    <t>Expansion joint</t>
  </si>
  <si>
    <t>Provide a 25mm expansion joint on the eastern wall</t>
  </si>
  <si>
    <t xml:space="preserve">Reinforced cement concrete </t>
  </si>
  <si>
    <t>Ditto but Ø8mm  deformed bars T8 250 C/C</t>
  </si>
  <si>
    <t>Supply and fix Ø12mm  deformed bars 4T12 for ring beam</t>
  </si>
  <si>
    <r>
      <t xml:space="preserve">Supply and fix </t>
    </r>
    <r>
      <rPr>
        <sz val="11"/>
        <rFont val="Symbol"/>
        <family val="1"/>
        <charset val="2"/>
      </rPr>
      <t>Æ12</t>
    </r>
    <r>
      <rPr>
        <sz val="11"/>
        <rFont val="Calibri"/>
        <family val="2"/>
        <scheme val="minor"/>
      </rPr>
      <t>mm deformed bar for columns</t>
    </r>
  </si>
  <si>
    <t>400x400 columns</t>
  </si>
  <si>
    <t>Renovation and strengethening of the existing 6m wide gate, including introduction of a pedestrain gate within the main gate and peepholes in both the main gate and pedestrian gates, of not more than 25mm dia with a sliding door. The doors should be properly anchored on the RC wall.</t>
  </si>
  <si>
    <t>Supply and fix single eaf steel gate size 1200 x 3000 mm high made of thick steel plate welded on both sides of the frame. Frame as follows: 75x50x3mm thick RHS external members and 25mm SHS 3mm thick secondary members, fixed onto the concrete columns using heavy duty steel pin hinges; with all fastening accessories including all cutting welding, grinding and priming with one coat of grey oxide before fixing. The gate should also have peep holes of not more that 25mm dia with a slilding door. It should also have 2 locking mechanisms, top and bottom.</t>
  </si>
  <si>
    <t xml:space="preserve">Supply and Provide 5'' (12.5cm) dia. Pipe for 7m long </t>
  </si>
  <si>
    <t>7.2.1</t>
  </si>
  <si>
    <t>7.2.2</t>
  </si>
  <si>
    <t>7.2.3</t>
  </si>
  <si>
    <t>7.2.4</t>
  </si>
  <si>
    <t>ELEMENT NO. 2 - STONE WALL ALONG THREE REMAINING SIDES</t>
  </si>
  <si>
    <t xml:space="preserve"> Substructure</t>
  </si>
  <si>
    <t>7.3.1</t>
  </si>
  <si>
    <t>7.3.2</t>
  </si>
  <si>
    <t>7.3.3</t>
  </si>
  <si>
    <t>7.3.4</t>
  </si>
  <si>
    <t>7.3.5</t>
  </si>
  <si>
    <t>7.3.6</t>
  </si>
  <si>
    <t>7.3.7</t>
  </si>
  <si>
    <t>7.3.8</t>
  </si>
  <si>
    <t>7.3.9</t>
  </si>
  <si>
    <t>7.3.10</t>
  </si>
  <si>
    <t>7.3.11</t>
  </si>
  <si>
    <t>7.3.12</t>
  </si>
  <si>
    <t>7.3.13</t>
  </si>
  <si>
    <t>7.3.14</t>
  </si>
  <si>
    <t>7.3.15</t>
  </si>
  <si>
    <t>7.1.1</t>
  </si>
  <si>
    <t>7.1.2</t>
  </si>
  <si>
    <t>7.1.3</t>
  </si>
  <si>
    <t>7.1.4</t>
  </si>
  <si>
    <t>7.1.5</t>
  </si>
  <si>
    <t>7.1.6</t>
  </si>
  <si>
    <t>7.1.7</t>
  </si>
  <si>
    <t>7.1.9</t>
  </si>
  <si>
    <t>7.1.10</t>
  </si>
  <si>
    <t>RC WALL</t>
  </si>
  <si>
    <t>7.1.8</t>
  </si>
  <si>
    <t>7.1.11</t>
  </si>
  <si>
    <t>7.1.12</t>
  </si>
  <si>
    <t>7.1.13</t>
  </si>
  <si>
    <t>7.1.14</t>
  </si>
  <si>
    <t>7.1.15</t>
  </si>
  <si>
    <t>7.1.16</t>
  </si>
  <si>
    <t>Page total Carried Forward</t>
  </si>
  <si>
    <t>7.3.16</t>
  </si>
  <si>
    <t>7.3.17</t>
  </si>
  <si>
    <t>7.3.18</t>
  </si>
  <si>
    <t>7.3.19</t>
  </si>
  <si>
    <t>7.3.20</t>
  </si>
  <si>
    <t>7.4.1</t>
  </si>
  <si>
    <t>7.4.2</t>
  </si>
  <si>
    <t>7.4.3</t>
  </si>
  <si>
    <t>7.5.1</t>
  </si>
  <si>
    <t>7.5.2</t>
  </si>
  <si>
    <t>BOOM BARRIERS</t>
  </si>
  <si>
    <t>7.6.1</t>
  </si>
  <si>
    <t>Page total Brought Forward</t>
  </si>
  <si>
    <t>TOTAL FOR SECURITY FENCES CARRIED TO MAIN SUMMARY</t>
  </si>
  <si>
    <t>SECTION 7: SECURITY FENCES AND GATES</t>
  </si>
  <si>
    <t>necessary formwork in</t>
  </si>
  <si>
    <t xml:space="preserve">150mm thick surface bed laid in bays including all </t>
  </si>
  <si>
    <t>200mm Intermediary Suspended slab</t>
  </si>
  <si>
    <t>200mm Roof slab</t>
  </si>
  <si>
    <t>Insitu concrete class 25/20 , vibrated and reinforced  in</t>
  </si>
  <si>
    <t>COLUMN BASES AND 6 M COLUMNS</t>
  </si>
  <si>
    <t>Y12 (Nominal Diameter 12mm) bars spanning both ways</t>
  </si>
  <si>
    <t>REINFORCEMENT</t>
  </si>
  <si>
    <t>GROUND SLAB</t>
  </si>
  <si>
    <t>SUSPENDED SLABS - 2 NO.</t>
  </si>
  <si>
    <t>Ventilated parapet wall with block walling leaving gaps 200mm wide, total height 1m high as wind breaker</t>
  </si>
  <si>
    <t>m2</t>
  </si>
  <si>
    <t>Ditto outside all slabs</t>
  </si>
  <si>
    <t>6.2.4</t>
  </si>
  <si>
    <t>6.2.5</t>
  </si>
  <si>
    <t>6.2.6</t>
  </si>
  <si>
    <t>6.2.7</t>
  </si>
  <si>
    <t>6.3.1</t>
  </si>
  <si>
    <t>6.3.2</t>
  </si>
  <si>
    <t>6.3.3</t>
  </si>
  <si>
    <t>6.3.4</t>
  </si>
  <si>
    <t>6.3.5</t>
  </si>
  <si>
    <t>6.3.6</t>
  </si>
  <si>
    <t>6.3.7</t>
  </si>
  <si>
    <t>6.3.8</t>
  </si>
  <si>
    <t>6.3.9</t>
  </si>
  <si>
    <t>6.3.10</t>
  </si>
  <si>
    <t>6.4.1</t>
  </si>
  <si>
    <t>6.4.2</t>
  </si>
  <si>
    <t>6.4.3</t>
  </si>
  <si>
    <t>6.4.4</t>
  </si>
  <si>
    <t>6.4.5</t>
  </si>
  <si>
    <t>6.4.6</t>
  </si>
  <si>
    <t>6.5.1</t>
  </si>
  <si>
    <t>6.6.1</t>
  </si>
  <si>
    <t>6.7.1</t>
  </si>
  <si>
    <t>FORMWORK</t>
  </si>
  <si>
    <t>6.8.1</t>
  </si>
  <si>
    <t>6.8.2</t>
  </si>
  <si>
    <t>6.7.2</t>
  </si>
  <si>
    <t>6.7.3</t>
  </si>
  <si>
    <t>6.7.4</t>
  </si>
  <si>
    <t>6.9.1</t>
  </si>
  <si>
    <t>6.9.2</t>
  </si>
  <si>
    <t>6.9.3</t>
  </si>
  <si>
    <t>6.9.4</t>
  </si>
  <si>
    <t>PLUMBING INSTALLATIONS</t>
  </si>
  <si>
    <t>6.10.1</t>
  </si>
  <si>
    <t>6.10.11</t>
  </si>
  <si>
    <t>6.10.12</t>
  </si>
  <si>
    <t>6.10.13</t>
  </si>
  <si>
    <t>6.10.14</t>
  </si>
  <si>
    <t>6.10.15</t>
  </si>
  <si>
    <t>6.10.16</t>
  </si>
  <si>
    <t>6.10.17</t>
  </si>
  <si>
    <t>6.10.18</t>
  </si>
  <si>
    <t>6.11.1</t>
  </si>
  <si>
    <t>6.11.2</t>
  </si>
  <si>
    <t>Provisional sum for piping and valves to various points</t>
  </si>
  <si>
    <t>Page total Carried forward</t>
  </si>
  <si>
    <t>Fubricate  and fix anodised wooden ventilation, 300mm x 600m high</t>
  </si>
  <si>
    <t>Security House</t>
  </si>
  <si>
    <t xml:space="preserve">ELEMENT NO 1 - SUBSTRUCTURE </t>
  </si>
  <si>
    <t xml:space="preserve">Excavation </t>
  </si>
  <si>
    <t>1.1.1</t>
  </si>
  <si>
    <t>Clear site of all bushes and debris, including grubbing up roots and clearing away.</t>
  </si>
  <si>
    <t>1.1.2</t>
  </si>
  <si>
    <t xml:space="preserve">Disposal of excavated materials </t>
  </si>
  <si>
    <t>1.2.1</t>
  </si>
  <si>
    <t>Backfill and compact selected excavated material : compact in layers  not exceeding 150mm thick</t>
  </si>
  <si>
    <t>Surplus excavated materials : remove from site</t>
  </si>
  <si>
    <t xml:space="preserve">Quarry dust blinding </t>
  </si>
  <si>
    <t>1.3.1</t>
  </si>
  <si>
    <t>50mm Quarry dust blinding over hardcore : compacted : to receive  floor bed (ms)</t>
  </si>
  <si>
    <t>BRC Reinforcement</t>
  </si>
  <si>
    <t>1.4.1</t>
  </si>
  <si>
    <t>Mesh reference A142 weighing 2.22 kilogrammes per square metre  to surface beds</t>
  </si>
  <si>
    <t>1.5.1</t>
  </si>
  <si>
    <t>50mm Blinding layer : under strip foundations</t>
  </si>
  <si>
    <t xml:space="preserve">Insitu concrete : class 25/20 mm : vibrated : reinforced  </t>
  </si>
  <si>
    <t>1.6.1</t>
  </si>
  <si>
    <t>Strip footing</t>
  </si>
  <si>
    <t xml:space="preserve"> 1.6.2</t>
  </si>
  <si>
    <t>1.6.3</t>
  </si>
  <si>
    <t xml:space="preserve">150mm Thick surface bed </t>
  </si>
  <si>
    <t xml:space="preserve">Steel Bar Reinforcement </t>
  </si>
  <si>
    <t>High yield square twisted rod reinforcement to BS 4461 and Mild</t>
  </si>
  <si>
    <t xml:space="preserve"> steel bar reinforcement to BS 4449 (all provisional) </t>
  </si>
  <si>
    <t>1.7.1</t>
  </si>
  <si>
    <t>8mm diameter bars,</t>
  </si>
  <si>
    <t>kg</t>
  </si>
  <si>
    <t>1.7.2</t>
  </si>
  <si>
    <t>12mm diameter bars</t>
  </si>
  <si>
    <t xml:space="preserve">Sawn formwork : to </t>
  </si>
  <si>
    <t>1.8.1</t>
  </si>
  <si>
    <t>Vertical sides : wall foundations</t>
  </si>
  <si>
    <t>1.8.2</t>
  </si>
  <si>
    <t>Vertical edges : beds over 75 but not exceeding 150mm wide</t>
  </si>
  <si>
    <t xml:space="preserve">Foundation wall </t>
  </si>
  <si>
    <t xml:space="preserve">Selected natural masonry stones (minimum 7.0N/mm) regular,  coursed rough chisel dressed on all faces : exposed substructure  walls shall include regular coursed walling of uniform colour and  texture : fine dressed smooth finish to external face : bedded and  jointed in cement and sand (1:3) mortar : Extra over external fine  dressed wall for 10 x 10mm recessed horizontal joints with  vertical flush joints : pointed in cement grout : wire brush stone  work after keywork </t>
  </si>
  <si>
    <t>1.9.1</t>
  </si>
  <si>
    <t>200mm Foundation walls</t>
  </si>
  <si>
    <t>ELEMENT NO. 2 - SUPERSTRUCTURE</t>
  </si>
  <si>
    <t xml:space="preserve">Concrete block walling </t>
  </si>
  <si>
    <t>Concrete block   (minimum 5.0N/mm) walling :  bedded and</t>
  </si>
  <si>
    <t xml:space="preserve"> jointed in cement and sand (1:3) mortar : reinforced with 20mm</t>
  </si>
  <si>
    <t xml:space="preserve"> hoop iron in every alternate course : flush veritcal and hoirzontal</t>
  </si>
  <si>
    <t xml:space="preserve"> joints </t>
  </si>
  <si>
    <t>200mm Thick walls</t>
  </si>
  <si>
    <t xml:space="preserve">Ringbeam </t>
  </si>
  <si>
    <t>In-situ concrete class 20/20 mm : vibrated : reinforced : allow for</t>
  </si>
  <si>
    <t xml:space="preserve"> all neccessary formwork </t>
  </si>
  <si>
    <t>Reinforced concrete class (20/20)as described in 200 x 300 mm High ring beam</t>
  </si>
  <si>
    <t>Reinforcement as described;- High yield ribbed reinforcement bars to B.S 4461</t>
  </si>
  <si>
    <t>ROOFING</t>
  </si>
  <si>
    <t xml:space="preserve">New Sheet roofing </t>
  </si>
  <si>
    <t>Supply and construct a galvanized (350g/m2) corrugated Aluminum sheet roof 28 gauge over the rooms including treated timber substructure and skirting (Rafters: 150mm x 75mm, purlins: 75mm x 50mm, Main Ties: 100 x 50 mm, and King post 100mmx50mm, ), galvanized rain gutter and downpipe system as shown in the drawing(s). Note that all roof sheets should be of box profile preprinted or Aluminum roofing sheets (for coastal areas) as per instruction . All wood has to be treated with ANTI-TERMITE TREATMENT to all surfaces. All timber surfaces shall be painted with minimum two coats of water based emulsion paint (white)</t>
  </si>
  <si>
    <t>New roof</t>
  </si>
  <si>
    <t>Ceiling with chipboard or equal approved ceiling board fixing onto 50X50mm timber brandering on 50X100mm joists</t>
  </si>
  <si>
    <t xml:space="preserve">Fascia board </t>
  </si>
  <si>
    <t>Three coats of plastic emulsion ceiling and fascia board painting</t>
  </si>
  <si>
    <t>DOORS AND IRON MONGERY</t>
  </si>
  <si>
    <t xml:space="preserve">                 </t>
  </si>
  <si>
    <t xml:space="preserve">Timber flush doors </t>
  </si>
  <si>
    <t>Single leaf door overall size 900 x 2200mm high  Door  Wooden Door- Hinged- Two Leaves , including furnishing, installation, frames, sub frames, hardware, accessories, anchorage, finishing, etc</t>
  </si>
  <si>
    <t>4.1.1</t>
  </si>
  <si>
    <t xml:space="preserve">Door overall size 900 x 2100mm high </t>
  </si>
  <si>
    <t>4.2.1</t>
  </si>
  <si>
    <t>Provide and fix Purpose made steel casement 1000x1200mm windows  including all cutting welding, filling and grinding to smooth finish with and including approved hinges, fasteners, strays and painted with one coat of red oxide primer before fixing.</t>
  </si>
  <si>
    <t xml:space="preserve">INTERNAL FINISHES </t>
  </si>
  <si>
    <t xml:space="preserve">Screeds </t>
  </si>
  <si>
    <t>Cement and sand (1:4) mortar screed beds : wood float finished</t>
  </si>
  <si>
    <t xml:space="preserve"> to receive ceramic tile floor finish (m.s) :  on concrete </t>
  </si>
  <si>
    <t>5.1.1</t>
  </si>
  <si>
    <t>40mm Thick screed beds</t>
  </si>
  <si>
    <t xml:space="preserve">Ceramic tiles </t>
  </si>
  <si>
    <t xml:space="preserve">Supply and fix 1st quality floor tiles : colour to Architects  selected/approval :  bedded on cement and sand (1:4)  screed beds  (ms) with cement : pointed and grouted in matching colour grout:  allow fo laying diagonally where directed  </t>
  </si>
  <si>
    <t>Ceramic tile floor finish</t>
  </si>
  <si>
    <t>5.2.2</t>
  </si>
  <si>
    <t>100mm high skirtings</t>
  </si>
  <si>
    <t xml:space="preserve">Plaster works </t>
  </si>
  <si>
    <t>15 mm Thick Lime plaster : steel trowelled finish : on concrete or</t>
  </si>
  <si>
    <t xml:space="preserve"> blockwork : to </t>
  </si>
  <si>
    <t>Walls and beams</t>
  </si>
  <si>
    <t xml:space="preserve">Paint work </t>
  </si>
  <si>
    <t>Prepare and apply three coats 1st grade plastic  emulsion paint to</t>
  </si>
  <si>
    <t xml:space="preserve"> approval : on </t>
  </si>
  <si>
    <t>Prepare internal surfaces and paint  to match existing colour</t>
  </si>
  <si>
    <r>
      <t>m</t>
    </r>
    <r>
      <rPr>
        <vertAlign val="superscript"/>
        <sz val="11"/>
        <rFont val="Calibri"/>
        <family val="2"/>
      </rPr>
      <t>2</t>
    </r>
  </si>
  <si>
    <t>Prepare external surfaces and paint  to match existing colour</t>
  </si>
  <si>
    <t>Supply and  fix wall  shelves  300x400mm heigh made of 20mm thick cut and joined MDF pannels 1200mm high by 1800mm wide</t>
  </si>
  <si>
    <t xml:space="preserve">ITEM No. </t>
  </si>
  <si>
    <t>ELEMENT NO. 1: PLAY GROUND</t>
  </si>
  <si>
    <t>ELEMENT NO. 2: WALKWAYS</t>
  </si>
  <si>
    <t>Site Clearing</t>
  </si>
  <si>
    <t>Excavate 200mm deep for hardcore filling</t>
  </si>
  <si>
    <t>General site leveling</t>
  </si>
  <si>
    <t>Crushed stone or other approved filling, as described</t>
  </si>
  <si>
    <t>50mm thick approved  crashed stone surfacing compacted to a uniform surface</t>
  </si>
  <si>
    <t>ELEMENT NO. 3: PARKING</t>
  </si>
  <si>
    <t>SECTION 4: SECURITY HOUSE</t>
  </si>
  <si>
    <t>SECTION 11: EXTERNAL WORKS</t>
  </si>
  <si>
    <r>
      <t>m</t>
    </r>
    <r>
      <rPr>
        <vertAlign val="superscript"/>
        <sz val="11"/>
        <color theme="1"/>
        <rFont val="Calibri"/>
        <family val="2"/>
        <scheme val="minor"/>
      </rPr>
      <t>2</t>
    </r>
  </si>
  <si>
    <r>
      <t>m</t>
    </r>
    <r>
      <rPr>
        <vertAlign val="superscript"/>
        <sz val="11"/>
        <color indexed="8"/>
        <rFont val="Calibri"/>
        <family val="2"/>
        <scheme val="minor"/>
      </rPr>
      <t>3</t>
    </r>
  </si>
  <si>
    <t>Total for 3 No. Guard Towers</t>
  </si>
  <si>
    <t xml:space="preserve">Bars; high yield steel; cold worked to B.S. 4461 including bends, hooks, tying wire and distance blocks of assorted diameter </t>
  </si>
  <si>
    <t>3 Room Accommodation 4.2 by 6.5m</t>
  </si>
  <si>
    <t>20mm screed bed finished to receive Non-slip ceramic  floor  tiles (m.s)steel trowelled to finish</t>
  </si>
  <si>
    <t xml:space="preserve">Construct 200mm thick 800mm high massonry walls for shelves </t>
  </si>
  <si>
    <t>Formwork to slab</t>
  </si>
  <si>
    <t>Total: top and and Bottom Cabinets</t>
  </si>
  <si>
    <t>Veneered mahogany 20mm thick in cupboard doors, divisions and shelves for bottom cabinets and drawers</t>
  </si>
  <si>
    <t xml:space="preserve">Electrical Total Carried to Summary </t>
  </si>
  <si>
    <t xml:space="preserve">Fixture Total  Carried Summary </t>
  </si>
  <si>
    <t>SECTION 12: ACCOMMODATION</t>
  </si>
  <si>
    <t>12.1.1</t>
  </si>
  <si>
    <t>12.1.2</t>
  </si>
  <si>
    <t>12.1.3</t>
  </si>
  <si>
    <t>12.1.4</t>
  </si>
  <si>
    <t>12.1.5</t>
  </si>
  <si>
    <t>12.1.6</t>
  </si>
  <si>
    <t>12.1.7</t>
  </si>
  <si>
    <t>12.1.8</t>
  </si>
  <si>
    <t>12.1.9</t>
  </si>
  <si>
    <t>12.1.10</t>
  </si>
  <si>
    <t>12.1.11</t>
  </si>
  <si>
    <t>12.1.13</t>
  </si>
  <si>
    <t>12.4.1</t>
  </si>
  <si>
    <t>12.4.2</t>
  </si>
  <si>
    <t>12.4.3</t>
  </si>
  <si>
    <t>12.4.4</t>
  </si>
  <si>
    <t>12.4.5</t>
  </si>
  <si>
    <t>12.4.6</t>
  </si>
  <si>
    <t>12.4.7</t>
  </si>
  <si>
    <t>12.4.8</t>
  </si>
  <si>
    <t>12.4.9</t>
  </si>
  <si>
    <t>12.4.10</t>
  </si>
  <si>
    <t>12.5.1</t>
  </si>
  <si>
    <t>12.6.1</t>
  </si>
  <si>
    <t>12.7.1</t>
  </si>
  <si>
    <t>12.7.2</t>
  </si>
  <si>
    <t>12.7.3</t>
  </si>
  <si>
    <t>12.7.4</t>
  </si>
  <si>
    <t>12.7.5</t>
  </si>
  <si>
    <t>12.8.1</t>
  </si>
  <si>
    <t>12.8.2</t>
  </si>
  <si>
    <t>12.8.3</t>
  </si>
  <si>
    <t>12.8.4</t>
  </si>
  <si>
    <t>12.8.5</t>
  </si>
  <si>
    <t>Excavate 400mm deep for solid block foundation by 400mm wide</t>
  </si>
  <si>
    <t>12mm bars</t>
  </si>
  <si>
    <t>To the edges of ground slabs 100 - 200mm wide and foundation strips and ground columns</t>
  </si>
  <si>
    <t>2.1.14</t>
  </si>
  <si>
    <t xml:space="preserve">8mm bars </t>
  </si>
  <si>
    <t>High yield square twisted reinforcement bars to B.S 4461 in strip foundation, foundation beam and foundation columns and bases</t>
  </si>
  <si>
    <t>2.1.15</t>
  </si>
  <si>
    <t>2.1.16</t>
  </si>
  <si>
    <t>Strip Foundation</t>
  </si>
  <si>
    <t>2.1.17</t>
  </si>
  <si>
    <t>m3</t>
  </si>
  <si>
    <t>Ground floor beam</t>
  </si>
  <si>
    <t>Reinforced concrete class 25, as described in:-</t>
  </si>
  <si>
    <t>8mm ditto</t>
  </si>
  <si>
    <t>12mm ditto</t>
  </si>
  <si>
    <t>Sawn formwork, as described, to:-</t>
  </si>
  <si>
    <t>Sides and soffits of beams</t>
  </si>
  <si>
    <t>Superstructure concrete Carried to Bill No. 2 Summary</t>
  </si>
  <si>
    <t>2.4.1</t>
  </si>
  <si>
    <t>2.4.2</t>
  </si>
  <si>
    <t>200mm thick walling internally 3m high</t>
  </si>
  <si>
    <t>2.4.3</t>
  </si>
  <si>
    <t>Damp-proof courses, as described, to walls</t>
  </si>
  <si>
    <t>2.4.4</t>
  </si>
  <si>
    <t>200mm wide</t>
  </si>
  <si>
    <t>Total for Superstructure Walling  Carried to Bill No. 2 Summary</t>
  </si>
  <si>
    <t>Beams</t>
  </si>
  <si>
    <t>ELEMENT NO. 4 - ROOFING</t>
  </si>
  <si>
    <t>2.4.5</t>
  </si>
  <si>
    <t>2.4.6</t>
  </si>
  <si>
    <t>2.4.7</t>
  </si>
  <si>
    <t>Total forRoof Works Carried to Bill Summary</t>
  </si>
  <si>
    <t>2.4.8</t>
  </si>
  <si>
    <t>2.4.9</t>
  </si>
  <si>
    <t>2.4.10</t>
  </si>
  <si>
    <t>2.4.11</t>
  </si>
  <si>
    <t>2.5.1</t>
  </si>
  <si>
    <t>woodfloat to:-</t>
  </si>
  <si>
    <t>2.6.1</t>
  </si>
  <si>
    <t>12mm (minimum) two coat lime plaster as described to</t>
  </si>
  <si>
    <t>Concrete or masonry surfaces internally</t>
  </si>
  <si>
    <t>Ditto : Skirting</t>
  </si>
  <si>
    <t>Ceiling</t>
  </si>
  <si>
    <t>Timber brandering</t>
  </si>
  <si>
    <t>50 x 50 blandering on timber joists at 600mm centres bothways</t>
  </si>
  <si>
    <t>75 x 50 timber joists</t>
  </si>
  <si>
    <t>Supply and fix ceiling board as approved by engineer</t>
  </si>
  <si>
    <t xml:space="preserve">Prepare and apply three coats first quality emulsion </t>
  </si>
  <si>
    <t xml:space="preserve">paint on:- </t>
  </si>
  <si>
    <t>Plastered walls externally</t>
  </si>
  <si>
    <t>Prepare and apply three coats first quality silk vinyl</t>
  </si>
  <si>
    <t xml:space="preserve">emulsion paint on:- </t>
  </si>
  <si>
    <t>Plastered surfaces internally</t>
  </si>
  <si>
    <t>Approved Ceiling Board</t>
  </si>
  <si>
    <t>40mm finished floor screed steel troweled  finish</t>
  </si>
  <si>
    <t>TOTAL FOR FINISHES</t>
  </si>
  <si>
    <t>Total for Doors Carried to Bill Summary</t>
  </si>
  <si>
    <t>Total for Windows Carried to Bill Summary</t>
  </si>
  <si>
    <t>2.7.1</t>
  </si>
  <si>
    <t>2.7.2</t>
  </si>
  <si>
    <t>2.7.3</t>
  </si>
  <si>
    <t>2.7.4</t>
  </si>
  <si>
    <t xml:space="preserve"> Power Supply and Connection </t>
  </si>
  <si>
    <t>2.7.8</t>
  </si>
  <si>
    <t>2.8.1</t>
  </si>
  <si>
    <t>2.9.1</t>
  </si>
  <si>
    <t>2.10.1</t>
  </si>
  <si>
    <t>ELEMENT NO. 2: SUPER STRUCTURE CONCRETE</t>
  </si>
  <si>
    <t>2.4.12</t>
  </si>
  <si>
    <t>2.4.13</t>
  </si>
  <si>
    <t>2.4.15</t>
  </si>
  <si>
    <t>2.4.16</t>
  </si>
  <si>
    <t>2.4.17</t>
  </si>
  <si>
    <t>2.4.18</t>
  </si>
  <si>
    <t>2.4.19</t>
  </si>
  <si>
    <t>2.4.20</t>
  </si>
  <si>
    <t>2.5.2</t>
  </si>
  <si>
    <t>2.5.3</t>
  </si>
  <si>
    <t>2.5.4</t>
  </si>
  <si>
    <t>2.5.5</t>
  </si>
  <si>
    <t>2.5.6</t>
  </si>
  <si>
    <t>2.5.7</t>
  </si>
  <si>
    <t>2.5.8</t>
  </si>
  <si>
    <t>2.5.9</t>
  </si>
  <si>
    <t>2.5.10</t>
  </si>
  <si>
    <t>2.7.9</t>
  </si>
  <si>
    <t>2.7.10</t>
  </si>
  <si>
    <t>2.8.2</t>
  </si>
  <si>
    <t>2.8.3</t>
  </si>
  <si>
    <t>2.8.4</t>
  </si>
  <si>
    <t>2.8.5</t>
  </si>
  <si>
    <t>2.8.6</t>
  </si>
  <si>
    <t>2.8.7</t>
  </si>
  <si>
    <t xml:space="preserve">ELEMENT NO. 10 WASH AREA FOR PRAYERS </t>
  </si>
  <si>
    <t>ELEMENT NO. 9: STEPS AND RUMPS</t>
  </si>
  <si>
    <t>ELEMENT NO. 11: SOAK PIT 1 No.</t>
  </si>
  <si>
    <t>2.11.1</t>
  </si>
  <si>
    <t>2.11.2</t>
  </si>
  <si>
    <t>2.11.3</t>
  </si>
  <si>
    <t>2.11.4</t>
  </si>
  <si>
    <t>ELEMENT NO. 3 SUPERSTRUCTURE WALLING</t>
  </si>
  <si>
    <t>ELEMENT NO. 5: DOORS</t>
  </si>
  <si>
    <t>ELEMENT NO. 6: WINDOWS</t>
  </si>
  <si>
    <t>ELEMENT NO 7: FINISHES</t>
  </si>
  <si>
    <t>ELEMENT NO. 8: ELECTRICAL INSTALLATIONS AND SERVICES</t>
  </si>
  <si>
    <t>To the edges of ground slabs 100 - 200mm wide, ground beam and foundation strip</t>
  </si>
  <si>
    <t>12.1.12</t>
  </si>
  <si>
    <t>Foundation Strip</t>
  </si>
  <si>
    <t>Concrete or masonry surfaces externally 12mm (minimum) two coat lime plaster as described to</t>
  </si>
  <si>
    <t>Page Total Carried to Summary</t>
  </si>
  <si>
    <t>ELEMENT NO. 4: ROOF</t>
  </si>
  <si>
    <t>ELEMENT NO. 5 - DOORS</t>
  </si>
  <si>
    <t>ELEMENT NO. 6 - WINDOWS</t>
  </si>
  <si>
    <t>ELEMENT NO. 9: FIXTURES - CLOTHES SHELVES CABINETS AND DRAWERS</t>
  </si>
  <si>
    <t>12.4.11</t>
  </si>
  <si>
    <t>12.4.12</t>
  </si>
  <si>
    <t>12.4.13</t>
  </si>
  <si>
    <t>12.4.14</t>
  </si>
  <si>
    <t>12.4.15</t>
  </si>
  <si>
    <t>12.4.16</t>
  </si>
  <si>
    <t>12.4.17</t>
  </si>
  <si>
    <t>12.4.18</t>
  </si>
  <si>
    <t>12.4.19</t>
  </si>
  <si>
    <t>12.5.2</t>
  </si>
  <si>
    <t>12.5.3</t>
  </si>
  <si>
    <t>12.5.4</t>
  </si>
  <si>
    <t>12.5.5</t>
  </si>
  <si>
    <t>12.5.6</t>
  </si>
  <si>
    <t>12.5.7</t>
  </si>
  <si>
    <t>12.5.8</t>
  </si>
  <si>
    <t>12.5.9</t>
  </si>
  <si>
    <t>12.5.10</t>
  </si>
  <si>
    <t>12.7.6</t>
  </si>
  <si>
    <t>12.7.7</t>
  </si>
  <si>
    <t>12.7.8</t>
  </si>
  <si>
    <t>12.7.9</t>
  </si>
  <si>
    <t>12.7.10</t>
  </si>
  <si>
    <t>12.7.11</t>
  </si>
  <si>
    <t>12.9.1</t>
  </si>
  <si>
    <t>12.9.2</t>
  </si>
  <si>
    <t>12.9.3</t>
  </si>
  <si>
    <t>12.9.4</t>
  </si>
  <si>
    <t>12.9.5</t>
  </si>
  <si>
    <t>12.9.6</t>
  </si>
  <si>
    <t>12.9.7</t>
  </si>
  <si>
    <t>12.9.8</t>
  </si>
  <si>
    <t>12.9.9</t>
  </si>
  <si>
    <t>12.9.10</t>
  </si>
  <si>
    <t>12.9.11</t>
  </si>
  <si>
    <t>12.9.12</t>
  </si>
  <si>
    <t>12.9.13</t>
  </si>
  <si>
    <t>Total for Door Carried to Summary</t>
  </si>
  <si>
    <t>Total For Window carried to Element Summary</t>
  </si>
  <si>
    <t>3.1.14</t>
  </si>
  <si>
    <t>3.1.15</t>
  </si>
  <si>
    <t>3.2.1</t>
  </si>
  <si>
    <t>3.2.2</t>
  </si>
  <si>
    <t>3.2.3</t>
  </si>
  <si>
    <t>3.2.4</t>
  </si>
  <si>
    <t>3.4.1</t>
  </si>
  <si>
    <t>3.4.2</t>
  </si>
  <si>
    <t>3.4.3</t>
  </si>
  <si>
    <t>3.4.4</t>
  </si>
  <si>
    <t>3.4.5</t>
  </si>
  <si>
    <t>3.4.6</t>
  </si>
  <si>
    <t>3.4.7</t>
  </si>
  <si>
    <t>3.4.8</t>
  </si>
  <si>
    <t>3.4.9</t>
  </si>
  <si>
    <t>3.4.10</t>
  </si>
  <si>
    <t>3.4.11</t>
  </si>
  <si>
    <t>3.4.12</t>
  </si>
  <si>
    <t>3.4.13</t>
  </si>
  <si>
    <t>3.4.14</t>
  </si>
  <si>
    <t>3.4.15</t>
  </si>
  <si>
    <t>3.4.16</t>
  </si>
  <si>
    <t>3.4.17</t>
  </si>
  <si>
    <t>3.4.18</t>
  </si>
  <si>
    <t>Roof Total carried to bil Summary</t>
  </si>
  <si>
    <t>3.5.1</t>
  </si>
  <si>
    <t>3.5.2</t>
  </si>
  <si>
    <t>3.5.3</t>
  </si>
  <si>
    <t>3.5.4</t>
  </si>
  <si>
    <t>3.5.5</t>
  </si>
  <si>
    <t>3.5.6</t>
  </si>
  <si>
    <t>3.5.7</t>
  </si>
  <si>
    <t>3.5.8</t>
  </si>
  <si>
    <t>3.5.9</t>
  </si>
  <si>
    <t>3.5.10</t>
  </si>
  <si>
    <t>Total for Door Carried to Bill Summary</t>
  </si>
  <si>
    <t>Total for windows Carried to Bill Summary</t>
  </si>
  <si>
    <t>3.7.1</t>
  </si>
  <si>
    <t>3.7.2</t>
  </si>
  <si>
    <t>3.7.3</t>
  </si>
  <si>
    <t>3.7.4</t>
  </si>
  <si>
    <t>3.7.5</t>
  </si>
  <si>
    <t>3.7.6</t>
  </si>
  <si>
    <t>3.7.7</t>
  </si>
  <si>
    <t>3.7.8</t>
  </si>
  <si>
    <t>3.7.9</t>
  </si>
  <si>
    <t>3.7.10</t>
  </si>
  <si>
    <t>3.6.1</t>
  </si>
  <si>
    <t>3.8.1</t>
  </si>
  <si>
    <t>3.8.2</t>
  </si>
  <si>
    <t>3.8.3</t>
  </si>
  <si>
    <t>3.8.4</t>
  </si>
  <si>
    <t>3.8.5</t>
  </si>
  <si>
    <t>3.8.9</t>
  </si>
  <si>
    <t>ELEMENT NO. 9: KITCHEN INTERIOR WORKS</t>
  </si>
  <si>
    <t>3.9.15</t>
  </si>
  <si>
    <t>3.10.1</t>
  </si>
  <si>
    <t>ELEMENT NO. 10: DINNING INTERIOR WORKS</t>
  </si>
  <si>
    <t>ELEMENT NO. 11: RADIAL ARMS</t>
  </si>
  <si>
    <t>3.11.1</t>
  </si>
  <si>
    <t>3.11.2</t>
  </si>
  <si>
    <t>3.11.3</t>
  </si>
  <si>
    <t>3.11.4</t>
  </si>
  <si>
    <t>ELEMENT NO. 4 - ROOF WORKS</t>
  </si>
  <si>
    <t>High yield deformed bars reinforcement to BS 4461</t>
  </si>
  <si>
    <t>Walling bedded and jointed in cement and sand (1:4) mortar, reinforcement with and including 25mm wide x 20 gauge hoop iron at every alternate course as described in:</t>
  </si>
  <si>
    <t>400mmUncoursed rubble stones thick walling externally 3m high</t>
  </si>
  <si>
    <t>Excavate not exceeding 1000mm deep for solid block foundation by 600mm wide</t>
  </si>
  <si>
    <t>Construct of 400mm thick solid block foundation 800mm high</t>
  </si>
  <si>
    <t xml:space="preserve">8mm </t>
  </si>
  <si>
    <t>16mm ditto</t>
  </si>
  <si>
    <t>400mm wide</t>
  </si>
  <si>
    <t>150 mm roof slab</t>
  </si>
  <si>
    <t>150 mm Roof slab</t>
  </si>
  <si>
    <t xml:space="preserve"> Excavate 1000mm deep by 600mm wide for wall foundations </t>
  </si>
  <si>
    <t>200*400mm Ground beam</t>
  </si>
  <si>
    <t>10mm diameter bars,</t>
  </si>
  <si>
    <t xml:space="preserve">10mm bars </t>
  </si>
  <si>
    <t>Ground floor Beams</t>
  </si>
  <si>
    <t>supply and fix Interlocking paving blocks</t>
  </si>
  <si>
    <t>columns</t>
  </si>
  <si>
    <t>TOTAL FOR TWO (2) ACCOMMODATION BLOCKS CARRIED TO GRAND SUMMARY</t>
  </si>
  <si>
    <t xml:space="preserve">TOTAL FOR ACCOMMODATION BLOCK </t>
  </si>
  <si>
    <t xml:space="preserve">Transportation  and insatallation work of </t>
  </si>
  <si>
    <t xml:space="preserve">Plastered ceiling </t>
  </si>
  <si>
    <t>Concrete Ceiling soffit</t>
  </si>
  <si>
    <t>sm</t>
  </si>
  <si>
    <t>Take stock, transport and instal MIL 10 8760 with dimensions 2.21 height and 1.52m wide placed on the prepared ground</t>
  </si>
  <si>
    <t>SECTION 1</t>
  </si>
  <si>
    <t>PRELIMINARIES</t>
  </si>
  <si>
    <t>The Contractor is required to check the numbers of the pages and should any be found to be missing or in duplicate or the figures or writing indistinct, they must inform the Quantity Surveyors at once and have the same rectified.  Should the Contractor be in doubt about the precise meaning of any item, word or figure, for any reason whatsoever, or observe any apparent omission of words or figures they must inform the Quantity Surveyor in order that the correct meaning may be decided upon before the date for the submission of the Tender.</t>
  </si>
  <si>
    <t xml:space="preserve"> Contract to the satisfaction of the Engineer.</t>
  </si>
  <si>
    <t xml:space="preserve">The Contractor shall obtain the Engineer's approval for the siting of all temporary storage </t>
  </si>
  <si>
    <t>necessary for executing the works as instructed by the Engineer.</t>
  </si>
  <si>
    <t xml:space="preserve">The contractor must obtain the Engineer's approval and directions regarding the use of any </t>
  </si>
  <si>
    <t xml:space="preserve">receive on behalf of the Contractor, directions and instructions from the Engineer and such </t>
  </si>
  <si>
    <t>Engineer.</t>
  </si>
  <si>
    <t xml:space="preserve">Before the Tenderer's offer is accepted the Engineer will personally interview the Contractor's </t>
  </si>
  <si>
    <t xml:space="preserve"> provided for the Engineer's scrutiny.</t>
  </si>
  <si>
    <t>The Engineer's decision will be final regarding the suitability of the proposed Representative.</t>
  </si>
  <si>
    <t>The Engineer shall be empowered to suspend work on the Site should he consider these</t>
  </si>
  <si>
    <t>PAGE TOTAL CARRIED TO MAIN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</si>
</sst>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0_-;\-* #,##0.00_-;_-* &quot;-&quot;??_-;_-@_-"/>
    <numFmt numFmtId="165" formatCode="#,##0.0"/>
    <numFmt numFmtId="166" formatCode="_(* #,##0.00_);_(* \(#,##0.00\);_(* \-??_);_(@_)"/>
    <numFmt numFmtId="167" formatCode="0.0"/>
    <numFmt numFmtId="169" formatCode="_(* #,##0.0_);_(* \(#,##0.0\);_(* \-??_);_(@_)"/>
    <numFmt numFmtId="170" formatCode="_(* #,##0_);_(* \(#,##0\);_(* \-_);_(@_)"/>
    <numFmt numFmtId="171" formatCode="0.00.00\]"/>
    <numFmt numFmtId="172" formatCode="0.00.00.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ont>
    <font>
      <b/>
      <sz val="12"/>
      <name val="Tahoma"/>
      <family val="2"/>
    </font>
    <font>
      <sz val="12"/>
      <name val="Tahoma"/>
      <family val="2"/>
    </font>
    <font>
      <b/>
      <u/>
      <sz val="12"/>
      <name val="Tahoma"/>
      <family val="2"/>
    </font>
    <font>
      <sz val="11"/>
      <color theme="1"/>
      <name val="Calibri"/>
      <family val="2"/>
      <scheme val="minor"/>
    </font>
    <font>
      <sz val="11"/>
      <color indexed="8"/>
      <name val="Calibri"/>
      <family val="2"/>
    </font>
    <font>
      <b/>
      <sz val="11"/>
      <name val="Tahoma"/>
      <family val="2"/>
    </font>
    <font>
      <sz val="11"/>
      <name val="Tahoma"/>
      <family val="2"/>
    </font>
    <font>
      <sz val="10"/>
      <name val="Arial"/>
      <family val="2"/>
    </font>
    <font>
      <b/>
      <sz val="11"/>
      <color theme="1"/>
      <name val="Calibri"/>
      <family val="2"/>
      <scheme val="minor"/>
    </font>
    <font>
      <b/>
      <sz val="11"/>
      <color theme="1"/>
      <name val="Calibri"/>
      <family val="2"/>
    </font>
    <font>
      <b/>
      <sz val="11"/>
      <name val="Calibri"/>
      <family val="2"/>
    </font>
    <font>
      <sz val="11"/>
      <color theme="1"/>
      <name val="Calibri"/>
      <family val="2"/>
    </font>
    <font>
      <sz val="11"/>
      <name val="Calibri"/>
      <family val="2"/>
    </font>
    <font>
      <b/>
      <u/>
      <sz val="11"/>
      <name val="Calibri"/>
      <family val="2"/>
    </font>
    <font>
      <u/>
      <sz val="11"/>
      <name val="Calibri"/>
      <family val="2"/>
    </font>
    <font>
      <b/>
      <sz val="11"/>
      <color indexed="62"/>
      <name val="Calibri"/>
      <family val="2"/>
    </font>
    <font>
      <b/>
      <sz val="11"/>
      <name val="Calibri"/>
      <family val="2"/>
      <scheme val="minor"/>
    </font>
    <font>
      <sz val="11"/>
      <name val="Calibri"/>
      <family val="2"/>
      <scheme val="minor"/>
    </font>
    <font>
      <b/>
      <u/>
      <sz val="11"/>
      <name val="Calibri"/>
      <family val="2"/>
      <scheme val="minor"/>
    </font>
    <font>
      <u/>
      <sz val="11"/>
      <name val="Calibri"/>
      <family val="2"/>
      <scheme val="minor"/>
    </font>
    <font>
      <sz val="11"/>
      <color rgb="FFFF0000"/>
      <name val="Calibri"/>
      <family val="2"/>
      <scheme val="minor"/>
    </font>
    <font>
      <u/>
      <sz val="11"/>
      <color theme="1"/>
      <name val="Calibri"/>
      <family val="2"/>
    </font>
    <font>
      <vertAlign val="superscript"/>
      <sz val="11"/>
      <color indexed="8"/>
      <name val="Calibri"/>
      <family val="2"/>
      <scheme val="minor"/>
    </font>
    <font>
      <b/>
      <sz val="10"/>
      <name val="Arial"/>
      <family val="2"/>
    </font>
    <font>
      <sz val="11"/>
      <color theme="0" tint="-0.34998626667073579"/>
      <name val="Calibri"/>
      <family val="2"/>
      <scheme val="minor"/>
    </font>
    <font>
      <vertAlign val="superscript"/>
      <sz val="11"/>
      <color indexed="8"/>
      <name val="Calibri"/>
      <family val="2"/>
    </font>
    <font>
      <b/>
      <sz val="11"/>
      <color rgb="FF000000"/>
      <name val="Calibri"/>
      <family val="2"/>
      <scheme val="minor"/>
    </font>
    <font>
      <sz val="11"/>
      <color rgb="FF000000"/>
      <name val="Calibri"/>
      <family val="2"/>
      <scheme val="minor"/>
    </font>
    <font>
      <b/>
      <sz val="12"/>
      <color indexed="8"/>
      <name val="Calibri"/>
      <family val="2"/>
    </font>
    <font>
      <sz val="12"/>
      <color indexed="8"/>
      <name val="Calibri"/>
      <family val="2"/>
    </font>
    <font>
      <b/>
      <sz val="12"/>
      <color theme="1"/>
      <name val="Calibri"/>
      <family val="2"/>
    </font>
    <font>
      <sz val="12"/>
      <color theme="1"/>
      <name val="Calibri"/>
      <family val="2"/>
    </font>
    <font>
      <b/>
      <u/>
      <sz val="12"/>
      <color theme="1"/>
      <name val="Calibri"/>
      <family val="2"/>
    </font>
    <font>
      <vertAlign val="superscript"/>
      <sz val="12"/>
      <color indexed="8"/>
      <name val="Calibri"/>
      <family val="2"/>
    </font>
    <font>
      <b/>
      <sz val="12"/>
      <name val="Calibri"/>
      <family val="2"/>
    </font>
    <font>
      <b/>
      <u/>
      <sz val="12"/>
      <name val="Calibri"/>
      <family val="2"/>
    </font>
    <font>
      <sz val="12"/>
      <name val="Calibri"/>
      <family val="2"/>
    </font>
    <font>
      <u/>
      <sz val="12"/>
      <name val="Calibri"/>
      <family val="2"/>
    </font>
    <font>
      <sz val="12"/>
      <name val="Calibri"/>
      <family val="2"/>
      <scheme val="minor"/>
    </font>
    <font>
      <b/>
      <i/>
      <sz val="12"/>
      <name val="Calibri"/>
      <family val="2"/>
      <scheme val="minor"/>
    </font>
    <font>
      <b/>
      <sz val="12"/>
      <name val="Calibri"/>
      <family val="2"/>
      <scheme val="minor"/>
    </font>
    <font>
      <b/>
      <u/>
      <sz val="12"/>
      <name val="Calibri"/>
      <family val="2"/>
      <scheme val="minor"/>
    </font>
    <font>
      <u/>
      <sz val="12"/>
      <name val="Calibri"/>
      <family val="2"/>
      <scheme val="minor"/>
    </font>
    <font>
      <sz val="12"/>
      <color theme="1"/>
      <name val="Calibri"/>
      <family val="2"/>
      <scheme val="minor"/>
    </font>
    <font>
      <i/>
      <sz val="12"/>
      <name val="Calibri"/>
      <family val="2"/>
      <scheme val="minor"/>
    </font>
    <font>
      <sz val="10"/>
      <name val="Arial"/>
      <family val="2"/>
    </font>
    <font>
      <sz val="11"/>
      <color indexed="8"/>
      <name val="Calibri"/>
      <family val="2"/>
      <scheme val="minor"/>
    </font>
    <font>
      <b/>
      <sz val="11"/>
      <color indexed="8"/>
      <name val="Calibri"/>
      <family val="2"/>
      <scheme val="minor"/>
    </font>
    <font>
      <sz val="11"/>
      <name val="Symbol"/>
      <family val="1"/>
      <charset val="2"/>
    </font>
    <font>
      <u/>
      <sz val="11"/>
      <color theme="1"/>
      <name val="Calibri"/>
      <family val="2"/>
      <scheme val="minor"/>
    </font>
    <font>
      <b/>
      <u/>
      <sz val="11"/>
      <color theme="1"/>
      <name val="Calibri"/>
      <family val="2"/>
      <scheme val="minor"/>
    </font>
    <font>
      <vertAlign val="superscript"/>
      <sz val="11"/>
      <name val="Calibri"/>
      <family val="2"/>
    </font>
    <font>
      <sz val="10"/>
      <color theme="1"/>
      <name val="Arial"/>
      <family val="2"/>
    </font>
    <font>
      <vertAlign val="superscript"/>
      <sz val="11"/>
      <color theme="1"/>
      <name val="Calibri"/>
      <family val="2"/>
      <scheme val="minor"/>
    </font>
    <font>
      <b/>
      <sz val="11"/>
      <color rgb="FFFF0000"/>
      <name val="Calibri"/>
      <family val="2"/>
      <scheme val="minor"/>
    </font>
    <font>
      <b/>
      <sz val="12"/>
      <color theme="1"/>
      <name val="Tahoma"/>
      <family val="2"/>
    </font>
    <font>
      <sz val="11"/>
      <color theme="1"/>
      <name val="Tahoma"/>
      <family val="2"/>
    </font>
    <font>
      <b/>
      <sz val="11"/>
      <color theme="1"/>
      <name val="Tahoma"/>
      <family val="2"/>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thin">
        <color indexed="64"/>
      </left>
      <right/>
      <top style="thin">
        <color indexed="64"/>
      </top>
      <bottom/>
      <diagonal/>
    </border>
    <border>
      <left style="medium">
        <color indexed="64"/>
      </left>
      <right/>
      <top/>
      <bottom/>
      <diagonal/>
    </border>
    <border>
      <left style="double">
        <color indexed="64"/>
      </left>
      <right style="thin">
        <color indexed="64"/>
      </right>
      <top/>
      <bottom/>
      <diagonal/>
    </border>
  </borders>
  <cellStyleXfs count="43">
    <xf numFmtId="0" fontId="0" fillId="0" borderId="0"/>
    <xf numFmtId="0"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applyFont="0" applyFill="0" applyBorder="0" applyAlignment="0" applyProtection="0"/>
    <xf numFmtId="0" fontId="10" fillId="0" borderId="0"/>
    <xf numFmtId="0" fontId="11" fillId="0" borderId="0"/>
    <xf numFmtId="0" fontId="10" fillId="0" borderId="0"/>
    <xf numFmtId="0" fontId="10" fillId="0" borderId="0"/>
    <xf numFmtId="0" fontId="15" fillId="0" borderId="0"/>
    <xf numFmtId="9" fontId="10" fillId="0" borderId="0" applyFont="0" applyFill="0" applyBorder="0" applyAlignment="0" applyProtection="0"/>
    <xf numFmtId="9" fontId="11" fillId="0" borderId="0" applyFont="0" applyFill="0" applyBorder="0" applyAlignment="0" applyProtection="0"/>
    <xf numFmtId="0" fontId="10" fillId="0" borderId="1" applyNumberFormat="0" applyFont="0" applyBorder="0" applyAlignment="0">
      <alignment horizontal="center" vertical="top"/>
    </xf>
    <xf numFmtId="0" fontId="10" fillId="0" borderId="0"/>
    <xf numFmtId="43" fontId="16" fillId="0" borderId="0" applyFont="0" applyFill="0" applyBorder="0" applyAlignment="0" applyProtection="0"/>
    <xf numFmtId="44" fontId="1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1" fillId="0" borderId="0"/>
    <xf numFmtId="0" fontId="9" fillId="0" borderId="0"/>
    <xf numFmtId="43" fontId="19" fillId="0" borderId="0" applyFont="0" applyFill="0" applyBorder="0" applyAlignment="0" applyProtection="0"/>
    <xf numFmtId="0" fontId="8" fillId="0" borderId="0"/>
    <xf numFmtId="43" fontId="10" fillId="0" borderId="0" applyFont="0" applyFill="0" applyBorder="0" applyAlignment="0" applyProtection="0"/>
    <xf numFmtId="164" fontId="10" fillId="0" borderId="0" applyFont="0" applyFill="0" applyBorder="0" applyAlignment="0" applyProtection="0"/>
    <xf numFmtId="0" fontId="10" fillId="0" borderId="1" applyNumberFormat="0" applyFont="0" applyBorder="0" applyAlignment="0">
      <alignment horizontal="center" vertical="top"/>
    </xf>
    <xf numFmtId="0" fontId="10" fillId="0" borderId="1" applyNumberFormat="0" applyFont="0" applyBorder="0" applyAlignment="0">
      <alignment horizontal="center" vertical="top"/>
    </xf>
    <xf numFmtId="0" fontId="10" fillId="0" borderId="1" applyNumberFormat="0" applyFont="0" applyBorder="0" applyAlignment="0">
      <alignment horizontal="center" vertical="top"/>
    </xf>
    <xf numFmtId="44" fontId="57" fillId="0" borderId="0" applyFont="0" applyFill="0" applyBorder="0" applyAlignment="0" applyProtection="0"/>
    <xf numFmtId="0" fontId="16" fillId="0" borderId="0"/>
    <xf numFmtId="0" fontId="5" fillId="0" borderId="0"/>
    <xf numFmtId="0" fontId="5" fillId="0" borderId="0"/>
    <xf numFmtId="0" fontId="5" fillId="0" borderId="0"/>
  </cellStyleXfs>
  <cellXfs count="1163">
    <xf numFmtId="0" fontId="0" fillId="0" borderId="0" xfId="0"/>
    <xf numFmtId="0" fontId="13" fillId="0" borderId="0" xfId="0" applyFont="1" applyFill="1" applyAlignment="1"/>
    <xf numFmtId="0" fontId="18" fillId="0" borderId="0" xfId="11" applyFont="1" applyAlignment="1">
      <alignment horizontal="left" indent="1"/>
    </xf>
    <xf numFmtId="0" fontId="18" fillId="0" borderId="0" xfId="11" applyFont="1"/>
    <xf numFmtId="0" fontId="17" fillId="0" borderId="0" xfId="11" applyFont="1"/>
    <xf numFmtId="0" fontId="17" fillId="0" borderId="0" xfId="11" applyFont="1" applyAlignment="1">
      <alignment horizontal="center"/>
    </xf>
    <xf numFmtId="0" fontId="12" fillId="0" borderId="0" xfId="0" applyFont="1" applyFill="1" applyBorder="1" applyAlignment="1">
      <alignment horizontal="center" vertical="center"/>
    </xf>
    <xf numFmtId="0" fontId="10" fillId="0" borderId="0" xfId="0" applyFont="1"/>
    <xf numFmtId="0" fontId="28" fillId="0" borderId="0" xfId="0" applyFont="1" applyBorder="1" applyAlignment="1">
      <alignment horizontal="center" vertical="center" wrapText="1"/>
    </xf>
    <xf numFmtId="4" fontId="2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30" fillId="0" borderId="5" xfId="0" applyFont="1" applyFill="1" applyBorder="1" applyAlignment="1">
      <alignment horizontal="left" wrapText="1"/>
    </xf>
    <xf numFmtId="4" fontId="29" fillId="0" borderId="5" xfId="0" applyNumberFormat="1" applyFont="1" applyFill="1" applyBorder="1" applyAlignment="1">
      <alignment horizontal="center"/>
    </xf>
    <xf numFmtId="3" fontId="29" fillId="0" borderId="5" xfId="0" applyNumberFormat="1" applyFont="1" applyFill="1" applyBorder="1" applyAlignment="1">
      <alignment horizontal="center"/>
    </xf>
    <xf numFmtId="4" fontId="29" fillId="0" borderId="0" xfId="0" applyNumberFormat="1" applyFont="1" applyFill="1" applyAlignment="1"/>
    <xf numFmtId="0" fontId="29" fillId="0" borderId="0" xfId="0" applyFont="1" applyFill="1" applyAlignment="1"/>
    <xf numFmtId="0" fontId="29" fillId="0" borderId="5" xfId="0" applyFont="1" applyFill="1" applyBorder="1" applyAlignment="1">
      <alignment horizontal="left" wrapText="1"/>
    </xf>
    <xf numFmtId="9" fontId="32" fillId="0" borderId="0" xfId="13" applyFont="1" applyFill="1" applyAlignment="1"/>
    <xf numFmtId="10" fontId="29" fillId="0" borderId="0" xfId="0" applyNumberFormat="1" applyFont="1" applyFill="1" applyAlignment="1"/>
    <xf numFmtId="0" fontId="28" fillId="0" borderId="5" xfId="0" applyFont="1" applyFill="1" applyBorder="1" applyAlignment="1">
      <alignment horizontal="left" wrapText="1"/>
    </xf>
    <xf numFmtId="3" fontId="28" fillId="0" borderId="5" xfId="0" applyNumberFormat="1" applyFont="1" applyFill="1" applyBorder="1" applyAlignment="1">
      <alignment horizontal="center"/>
    </xf>
    <xf numFmtId="0" fontId="29" fillId="0" borderId="0" xfId="0" applyFont="1" applyFill="1" applyAlignment="1">
      <alignment horizontal="center"/>
    </xf>
    <xf numFmtId="0" fontId="29" fillId="0" borderId="0" xfId="0" applyFont="1" applyFill="1" applyBorder="1" applyAlignment="1">
      <alignment horizontal="left" wrapText="1"/>
    </xf>
    <xf numFmtId="4" fontId="29" fillId="0" borderId="0" xfId="0" applyNumberFormat="1" applyFont="1" applyFill="1" applyBorder="1" applyAlignment="1">
      <alignment horizontal="center"/>
    </xf>
    <xf numFmtId="3" fontId="29" fillId="0" borderId="0" xfId="0" applyNumberFormat="1" applyFont="1" applyFill="1" applyBorder="1" applyAlignment="1">
      <alignment horizontal="center"/>
    </xf>
    <xf numFmtId="4" fontId="29" fillId="0" borderId="0" xfId="0" applyNumberFormat="1" applyFont="1" applyFill="1" applyAlignment="1">
      <alignment horizontal="center"/>
    </xf>
    <xf numFmtId="3" fontId="29" fillId="0" borderId="0" xfId="0" applyNumberFormat="1" applyFont="1" applyFill="1" applyAlignment="1">
      <alignment horizontal="center"/>
    </xf>
    <xf numFmtId="0" fontId="30" fillId="0" borderId="5" xfId="0" applyFont="1" applyFill="1" applyBorder="1" applyAlignment="1">
      <alignment horizontal="center" vertical="center"/>
    </xf>
    <xf numFmtId="0" fontId="30" fillId="0" borderId="5" xfId="0" applyFont="1" applyFill="1" applyBorder="1" applyAlignment="1">
      <alignment horizontal="left" vertical="center" wrapText="1"/>
    </xf>
    <xf numFmtId="0" fontId="29" fillId="0" borderId="0" xfId="0" applyFont="1"/>
    <xf numFmtId="0" fontId="13" fillId="0" borderId="5" xfId="0" applyFont="1" applyFill="1" applyBorder="1" applyAlignment="1">
      <alignment horizontal="center"/>
    </xf>
    <xf numFmtId="4" fontId="13" fillId="0" borderId="5" xfId="0" applyNumberFormat="1" applyFont="1" applyFill="1" applyBorder="1" applyAlignment="1">
      <alignment horizontal="center"/>
    </xf>
    <xf numFmtId="3" fontId="29" fillId="0" borderId="5" xfId="0" applyNumberFormat="1" applyFont="1" applyFill="1" applyBorder="1" applyAlignment="1">
      <alignment horizontal="center" vertical="center"/>
    </xf>
    <xf numFmtId="165" fontId="29" fillId="0" borderId="5" xfId="0" applyNumberFormat="1" applyFont="1" applyFill="1" applyBorder="1" applyAlignment="1">
      <alignment horizontal="center"/>
    </xf>
    <xf numFmtId="0" fontId="31" fillId="0" borderId="5" xfId="0" applyFont="1" applyFill="1" applyBorder="1" applyAlignment="1">
      <alignment horizontal="left" wrapText="1"/>
    </xf>
    <xf numFmtId="165" fontId="28" fillId="0" borderId="5" xfId="0" applyNumberFormat="1" applyFont="1" applyFill="1" applyBorder="1" applyAlignment="1">
      <alignment horizontal="center"/>
    </xf>
    <xf numFmtId="0" fontId="30" fillId="0" borderId="5" xfId="0" applyFont="1" applyFill="1" applyBorder="1" applyAlignment="1">
      <alignment horizontal="left" indent="1"/>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165" fontId="13" fillId="0" borderId="5" xfId="0" applyNumberFormat="1" applyFont="1" applyFill="1" applyBorder="1" applyAlignment="1">
      <alignment horizontal="center"/>
    </xf>
    <xf numFmtId="0" fontId="23" fillId="0" borderId="5" xfId="0" applyFont="1" applyBorder="1"/>
    <xf numFmtId="0" fontId="23" fillId="0" borderId="5" xfId="0" applyFont="1" applyFill="1" applyBorder="1" applyAlignment="1">
      <alignment horizontal="center" wrapText="1"/>
    </xf>
    <xf numFmtId="3" fontId="24" fillId="0" borderId="5" xfId="0" applyNumberFormat="1" applyFont="1" applyFill="1" applyBorder="1" applyAlignment="1">
      <alignment horizontal="center" vertical="center"/>
    </xf>
    <xf numFmtId="3" fontId="24" fillId="0" borderId="5" xfId="34" applyNumberFormat="1" applyFont="1" applyFill="1" applyBorder="1" applyAlignment="1">
      <alignment horizontal="center" vertical="center"/>
    </xf>
    <xf numFmtId="0" fontId="14" fillId="0" borderId="5" xfId="0" applyFont="1" applyFill="1" applyBorder="1" applyAlignment="1">
      <alignment horizontal="left" wrapText="1"/>
    </xf>
    <xf numFmtId="0" fontId="35" fillId="0" borderId="0" xfId="0" applyFont="1"/>
    <xf numFmtId="0" fontId="21" fillId="2" borderId="5" xfId="0" applyFont="1" applyFill="1" applyBorder="1" applyAlignment="1">
      <alignment horizontal="center" vertical="center" wrapText="1"/>
    </xf>
    <xf numFmtId="3" fontId="22" fillId="2" borderId="5" xfId="0" applyNumberFormat="1" applyFont="1" applyFill="1" applyBorder="1" applyAlignment="1">
      <alignment horizontal="center" vertical="center" wrapText="1"/>
    </xf>
    <xf numFmtId="3" fontId="22" fillId="2" borderId="5" xfId="34" applyNumberFormat="1" applyFont="1" applyFill="1" applyBorder="1" applyAlignment="1">
      <alignment horizontal="center" vertical="center" wrapText="1"/>
    </xf>
    <xf numFmtId="0" fontId="29" fillId="0" borderId="0" xfId="0" applyFont="1" applyFill="1"/>
    <xf numFmtId="0" fontId="30" fillId="0" borderId="0" xfId="0" applyFont="1" applyFill="1" applyBorder="1" applyAlignment="1">
      <alignment horizontal="left" indent="1"/>
    </xf>
    <xf numFmtId="165" fontId="29" fillId="0" borderId="5" xfId="0" applyNumberFormat="1" applyFont="1" applyFill="1" applyBorder="1" applyAlignment="1"/>
    <xf numFmtId="0" fontId="23" fillId="0" borderId="0" xfId="0" applyFont="1" applyFill="1" applyBorder="1" applyAlignment="1"/>
    <xf numFmtId="0" fontId="14" fillId="0" borderId="5" xfId="0" applyFont="1" applyFill="1" applyBorder="1" applyAlignment="1">
      <alignment wrapText="1"/>
    </xf>
    <xf numFmtId="0" fontId="36" fillId="0" borderId="0" xfId="0" applyFont="1" applyFill="1" applyAlignment="1"/>
    <xf numFmtId="0" fontId="36" fillId="0" borderId="0" xfId="0" applyFont="1" applyFill="1"/>
    <xf numFmtId="3" fontId="28" fillId="0" borderId="5" xfId="34" applyNumberFormat="1" applyFont="1" applyFill="1" applyBorder="1" applyAlignment="1">
      <alignment horizontal="center" vertical="center" wrapText="1"/>
    </xf>
    <xf numFmtId="165" fontId="28" fillId="0" borderId="5" xfId="34" applyNumberFormat="1" applyFont="1" applyFill="1" applyBorder="1" applyAlignment="1">
      <alignment horizontal="center" vertical="center" wrapText="1"/>
    </xf>
    <xf numFmtId="3" fontId="7" fillId="0" borderId="5" xfId="0" applyNumberFormat="1" applyFont="1" applyFill="1" applyBorder="1" applyAlignment="1"/>
    <xf numFmtId="0" fontId="20" fillId="0" borderId="5" xfId="0" applyFont="1" applyFill="1" applyBorder="1" applyAlignment="1">
      <alignment horizontal="right" vertical="center"/>
    </xf>
    <xf numFmtId="0" fontId="7" fillId="0" borderId="5" xfId="0" applyFont="1" applyFill="1" applyBorder="1" applyAlignment="1">
      <alignment horizontal="right" vertical="center"/>
    </xf>
    <xf numFmtId="0" fontId="28" fillId="4" borderId="5" xfId="0" applyFont="1" applyFill="1" applyBorder="1" applyAlignment="1">
      <alignment horizontal="center" vertical="center" wrapText="1"/>
    </xf>
    <xf numFmtId="165" fontId="28" fillId="4" borderId="5" xfId="0" applyNumberFormat="1" applyFont="1" applyFill="1" applyBorder="1" applyAlignment="1">
      <alignment horizontal="center" vertical="center" wrapText="1"/>
    </xf>
    <xf numFmtId="167" fontId="28" fillId="4" borderId="5" xfId="0" applyNumberFormat="1" applyFont="1" applyFill="1" applyBorder="1" applyAlignment="1">
      <alignment horizontal="center" vertical="center" wrapText="1"/>
    </xf>
    <xf numFmtId="0" fontId="36" fillId="4" borderId="0" xfId="0" applyFont="1" applyFill="1"/>
    <xf numFmtId="0" fontId="29" fillId="4" borderId="0" xfId="0" applyFont="1" applyFill="1"/>
    <xf numFmtId="0" fontId="29" fillId="4" borderId="5" xfId="0" applyFont="1" applyFill="1" applyBorder="1" applyAlignment="1">
      <alignment horizontal="center"/>
    </xf>
    <xf numFmtId="0" fontId="30" fillId="4" borderId="5" xfId="0" applyFont="1" applyFill="1" applyBorder="1" applyAlignment="1">
      <alignment horizontal="left" indent="1"/>
    </xf>
    <xf numFmtId="4" fontId="36" fillId="4" borderId="0" xfId="0" applyNumberFormat="1" applyFont="1" applyFill="1" applyAlignment="1"/>
    <xf numFmtId="0" fontId="29" fillId="4" borderId="0" xfId="0" applyFont="1" applyFill="1" applyAlignment="1"/>
    <xf numFmtId="0" fontId="30" fillId="4" borderId="5" xfId="0" applyFont="1" applyFill="1" applyBorder="1" applyAlignment="1">
      <alignment horizontal="left" wrapText="1"/>
    </xf>
    <xf numFmtId="0" fontId="29" fillId="4" borderId="5" xfId="0" applyFont="1" applyFill="1" applyBorder="1"/>
    <xf numFmtId="0" fontId="20" fillId="4" borderId="5" xfId="0" applyFont="1" applyFill="1" applyBorder="1" applyAlignment="1">
      <alignment horizontal="left" wrapText="1"/>
    </xf>
    <xf numFmtId="0" fontId="20" fillId="4" borderId="5" xfId="0" applyFont="1" applyFill="1" applyBorder="1" applyAlignment="1">
      <alignment horizontal="center"/>
    </xf>
    <xf numFmtId="0" fontId="20" fillId="4" borderId="5" xfId="0" applyFont="1" applyFill="1" applyBorder="1" applyAlignment="1">
      <alignment wrapText="1"/>
    </xf>
    <xf numFmtId="0" fontId="29" fillId="4" borderId="5" xfId="0" applyFont="1" applyFill="1" applyBorder="1" applyAlignment="1">
      <alignment wrapText="1"/>
    </xf>
    <xf numFmtId="2" fontId="29" fillId="4" borderId="5" xfId="0" applyNumberFormat="1" applyFont="1" applyFill="1" applyBorder="1" applyAlignment="1">
      <alignment horizontal="center"/>
    </xf>
    <xf numFmtId="0" fontId="23" fillId="4" borderId="0" xfId="0" applyFont="1" applyFill="1" applyBorder="1" applyAlignment="1"/>
    <xf numFmtId="0" fontId="21" fillId="4" borderId="0" xfId="0" applyFont="1" applyFill="1" applyBorder="1" applyAlignment="1"/>
    <xf numFmtId="0" fontId="21" fillId="0" borderId="0" xfId="0" applyFont="1" applyFill="1" applyBorder="1" applyAlignment="1"/>
    <xf numFmtId="0" fontId="24" fillId="0" borderId="0" xfId="0" applyFont="1" applyFill="1" applyBorder="1" applyAlignment="1">
      <alignment wrapText="1"/>
    </xf>
    <xf numFmtId="0" fontId="0" fillId="0" borderId="0" xfId="0" applyFill="1"/>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center"/>
    </xf>
    <xf numFmtId="43" fontId="36" fillId="0" borderId="0" xfId="31" applyFont="1" applyFill="1"/>
    <xf numFmtId="0" fontId="29" fillId="0" borderId="3" xfId="0" applyFont="1" applyFill="1" applyBorder="1" applyAlignment="1">
      <alignment horizontal="center"/>
    </xf>
    <xf numFmtId="43" fontId="36" fillId="0" borderId="0" xfId="31" applyFont="1" applyFill="1" applyAlignment="1"/>
    <xf numFmtId="0" fontId="29" fillId="0" borderId="3" xfId="0" applyFont="1" applyBorder="1" applyAlignment="1">
      <alignment horizontal="center"/>
    </xf>
    <xf numFmtId="0" fontId="36" fillId="0" borderId="0" xfId="0" applyFont="1"/>
    <xf numFmtId="43" fontId="36" fillId="0" borderId="0" xfId="31" applyFont="1"/>
    <xf numFmtId="0" fontId="30" fillId="0" borderId="3" xfId="0" applyFont="1" applyBorder="1" applyAlignment="1">
      <alignment horizontal="left" indent="1"/>
    </xf>
    <xf numFmtId="0" fontId="29" fillId="0" borderId="0" xfId="0" applyFont="1" applyBorder="1" applyAlignment="1">
      <alignment horizontal="left" indent="1"/>
    </xf>
    <xf numFmtId="0" fontId="29" fillId="0" borderId="3" xfId="0" applyFont="1" applyBorder="1" applyAlignment="1">
      <alignment horizontal="left" indent="1"/>
    </xf>
    <xf numFmtId="4" fontId="29" fillId="0" borderId="3" xfId="0" applyNumberFormat="1" applyFont="1" applyBorder="1" applyAlignment="1">
      <alignment horizontal="left" indent="1"/>
    </xf>
    <xf numFmtId="43" fontId="36" fillId="0" borderId="0" xfId="0" applyNumberFormat="1" applyFont="1"/>
    <xf numFmtId="0" fontId="36" fillId="0" borderId="3" xfId="0" applyFont="1" applyBorder="1" applyAlignment="1">
      <alignment horizontal="left" indent="1"/>
    </xf>
    <xf numFmtId="43" fontId="36" fillId="0" borderId="3" xfId="31" applyFont="1" applyBorder="1" applyAlignment="1">
      <alignment horizontal="left" indent="1"/>
    </xf>
    <xf numFmtId="0" fontId="28" fillId="0" borderId="3" xfId="0" applyFont="1" applyBorder="1" applyAlignment="1">
      <alignment horizontal="left" indent="1"/>
    </xf>
    <xf numFmtId="43" fontId="36" fillId="0" borderId="0" xfId="0" applyNumberFormat="1" applyFont="1" applyBorder="1"/>
    <xf numFmtId="43" fontId="36" fillId="0" borderId="0" xfId="31" applyFont="1" applyBorder="1"/>
    <xf numFmtId="0" fontId="29" fillId="0" borderId="0" xfId="0" applyFont="1" applyBorder="1"/>
    <xf numFmtId="0" fontId="36" fillId="0" borderId="0" xfId="0" applyFont="1" applyBorder="1"/>
    <xf numFmtId="0" fontId="29" fillId="0" borderId="0" xfId="0" applyFont="1" applyBorder="1" applyAlignment="1">
      <alignment horizontal="center"/>
    </xf>
    <xf numFmtId="0" fontId="46" fillId="0" borderId="0" xfId="0" applyFont="1" applyFill="1" applyAlignment="1"/>
    <xf numFmtId="0" fontId="28" fillId="0" borderId="0" xfId="0" applyFont="1"/>
    <xf numFmtId="0" fontId="21" fillId="4" borderId="7" xfId="0" applyFont="1" applyFill="1" applyBorder="1" applyAlignment="1">
      <alignment horizontal="right" vertical="center"/>
    </xf>
    <xf numFmtId="0" fontId="21" fillId="4" borderId="7" xfId="0" applyFont="1" applyFill="1" applyBorder="1" applyAlignment="1">
      <alignment horizontal="center" vertical="center" wrapText="1"/>
    </xf>
    <xf numFmtId="0" fontId="21" fillId="4" borderId="7" xfId="0" applyFont="1" applyFill="1" applyBorder="1" applyAlignment="1">
      <alignment horizontal="center" vertical="center"/>
    </xf>
    <xf numFmtId="3" fontId="22" fillId="4" borderId="7" xfId="34" applyNumberFormat="1" applyFont="1" applyFill="1" applyBorder="1" applyAlignment="1">
      <alignment horizontal="center" vertical="center" wrapText="1"/>
    </xf>
    <xf numFmtId="165" fontId="22" fillId="4" borderId="7" xfId="34" applyNumberFormat="1" applyFont="1" applyFill="1" applyBorder="1" applyAlignment="1">
      <alignment horizontal="center" vertical="center" wrapText="1"/>
    </xf>
    <xf numFmtId="3" fontId="29" fillId="4" borderId="8" xfId="0" applyNumberFormat="1" applyFont="1" applyFill="1" applyBorder="1" applyAlignment="1">
      <alignment horizontal="center"/>
    </xf>
    <xf numFmtId="165" fontId="29" fillId="4" borderId="8" xfId="0" applyNumberFormat="1" applyFont="1" applyFill="1" applyBorder="1" applyAlignment="1">
      <alignment horizontal="center"/>
    </xf>
    <xf numFmtId="3" fontId="22" fillId="4" borderId="8" xfId="34" applyNumberFormat="1" applyFont="1" applyFill="1" applyBorder="1" applyAlignment="1">
      <alignment horizontal="center" vertical="center" wrapText="1"/>
    </xf>
    <xf numFmtId="0" fontId="23" fillId="4" borderId="8" xfId="0" applyFont="1" applyFill="1" applyBorder="1" applyAlignment="1"/>
    <xf numFmtId="0" fontId="23" fillId="0" borderId="8" xfId="0" applyFont="1" applyFill="1" applyBorder="1" applyAlignment="1"/>
    <xf numFmtId="0" fontId="29" fillId="5" borderId="0" xfId="0" applyFont="1" applyFill="1"/>
    <xf numFmtId="1" fontId="41" fillId="4" borderId="9" xfId="0" applyNumberFormat="1" applyFont="1" applyFill="1" applyBorder="1" applyAlignment="1">
      <alignment horizontal="right" vertical="top" wrapText="1"/>
    </xf>
    <xf numFmtId="0" fontId="41" fillId="4" borderId="0" xfId="0" applyNumberFormat="1" applyFont="1" applyFill="1" applyAlignment="1">
      <alignment vertical="top" wrapText="1"/>
    </xf>
    <xf numFmtId="0" fontId="41" fillId="5" borderId="0" xfId="0" applyNumberFormat="1" applyFont="1" applyFill="1" applyAlignment="1">
      <alignment vertical="top" wrapText="1"/>
    </xf>
    <xf numFmtId="0" fontId="41" fillId="5" borderId="0" xfId="0" applyFont="1" applyFill="1" applyAlignment="1">
      <alignment vertical="top" wrapText="1"/>
    </xf>
    <xf numFmtId="0" fontId="40" fillId="4" borderId="9" xfId="0" applyFont="1" applyFill="1" applyBorder="1" applyAlignment="1">
      <alignment wrapText="1"/>
    </xf>
    <xf numFmtId="0" fontId="41" fillId="4" borderId="9" xfId="0" applyNumberFormat="1" applyFont="1" applyFill="1" applyBorder="1" applyAlignment="1">
      <alignment horizontal="center" vertical="top" wrapText="1"/>
    </xf>
    <xf numFmtId="0" fontId="41" fillId="4" borderId="9" xfId="0" applyNumberFormat="1" applyFont="1" applyFill="1" applyBorder="1" applyAlignment="1">
      <alignment vertical="top" wrapText="1"/>
    </xf>
    <xf numFmtId="1" fontId="41" fillId="4" borderId="9" xfId="0" applyNumberFormat="1" applyFont="1" applyFill="1" applyBorder="1" applyAlignment="1">
      <alignment horizontal="center" vertical="top" wrapText="1"/>
    </xf>
    <xf numFmtId="0" fontId="40" fillId="4" borderId="9" xfId="0" applyNumberFormat="1" applyFont="1" applyFill="1" applyBorder="1" applyAlignment="1">
      <alignment vertical="top" wrapText="1"/>
    </xf>
    <xf numFmtId="0" fontId="40" fillId="4" borderId="9" xfId="0" applyNumberFormat="1" applyFont="1" applyFill="1" applyBorder="1" applyAlignment="1">
      <alignment horizontal="center" vertical="top" wrapText="1"/>
    </xf>
    <xf numFmtId="1" fontId="40" fillId="4" borderId="9" xfId="0" applyNumberFormat="1" applyFont="1" applyFill="1" applyBorder="1" applyAlignment="1">
      <alignment horizontal="center" vertical="top" wrapText="1"/>
    </xf>
    <xf numFmtId="0" fontId="40" fillId="4" borderId="0" xfId="0" applyNumberFormat="1" applyFont="1" applyFill="1" applyAlignment="1">
      <alignment vertical="top" wrapText="1"/>
    </xf>
    <xf numFmtId="0" fontId="40" fillId="5" borderId="0" xfId="0" applyNumberFormat="1" applyFont="1" applyFill="1" applyAlignment="1">
      <alignment vertical="top" wrapText="1"/>
    </xf>
    <xf numFmtId="0" fontId="40" fillId="5" borderId="0" xfId="0" applyFont="1" applyFill="1" applyAlignment="1">
      <alignment vertical="top" wrapText="1"/>
    </xf>
    <xf numFmtId="1" fontId="40" fillId="4" borderId="9" xfId="0" applyNumberFormat="1" applyFont="1" applyFill="1" applyBorder="1" applyAlignment="1">
      <alignment horizontal="right" vertical="top" wrapText="1"/>
    </xf>
    <xf numFmtId="0" fontId="41" fillId="4" borderId="9" xfId="0" applyFont="1" applyFill="1" applyBorder="1" applyAlignment="1">
      <alignment wrapText="1"/>
    </xf>
    <xf numFmtId="0" fontId="41" fillId="4" borderId="0" xfId="0" applyFont="1" applyFill="1" applyAlignment="1"/>
    <xf numFmtId="0" fontId="41" fillId="5" borderId="0" xfId="0" applyFont="1" applyFill="1" applyAlignment="1"/>
    <xf numFmtId="0" fontId="42" fillId="4" borderId="9" xfId="0" applyFont="1" applyFill="1" applyBorder="1" applyAlignment="1">
      <alignment wrapText="1"/>
    </xf>
    <xf numFmtId="0" fontId="20" fillId="4" borderId="0" xfId="0" applyFont="1" applyFill="1" applyBorder="1" applyAlignment="1">
      <alignment horizontal="right" vertical="center"/>
    </xf>
    <xf numFmtId="0" fontId="41" fillId="4" borderId="9" xfId="0" applyFont="1" applyFill="1" applyBorder="1" applyAlignment="1"/>
    <xf numFmtId="0" fontId="43" fillId="4" borderId="9" xfId="0" applyFont="1" applyFill="1" applyBorder="1" applyAlignment="1">
      <alignment horizontal="right" vertical="center"/>
    </xf>
    <xf numFmtId="0" fontId="44" fillId="4" borderId="9" xfId="0" applyFont="1" applyFill="1" applyBorder="1" applyAlignment="1">
      <alignment vertical="center" wrapText="1"/>
    </xf>
    <xf numFmtId="0" fontId="43" fillId="4" borderId="9" xfId="0" applyFont="1" applyFill="1" applyBorder="1" applyAlignment="1">
      <alignment horizontal="center" vertical="center"/>
    </xf>
    <xf numFmtId="0" fontId="43" fillId="4" borderId="9" xfId="0" applyFont="1" applyFill="1" applyBorder="1" applyAlignment="1">
      <alignment vertical="center" wrapText="1"/>
    </xf>
    <xf numFmtId="0" fontId="42" fillId="4" borderId="9" xfId="0" applyFont="1" applyFill="1" applyBorder="1" applyAlignment="1">
      <alignment horizontal="right" vertical="center"/>
    </xf>
    <xf numFmtId="0" fontId="42" fillId="4" borderId="9" xfId="0" applyFont="1" applyFill="1" applyBorder="1" applyAlignment="1">
      <alignment vertical="center" wrapText="1"/>
    </xf>
    <xf numFmtId="0" fontId="42" fillId="4" borderId="9" xfId="0" applyFont="1" applyFill="1" applyBorder="1" applyAlignment="1">
      <alignment horizontal="center" vertical="center"/>
    </xf>
    <xf numFmtId="0" fontId="40" fillId="4" borderId="0" xfId="0" applyFont="1" applyFill="1" applyAlignment="1"/>
    <xf numFmtId="0" fontId="40" fillId="5" borderId="0" xfId="0" applyFont="1" applyFill="1" applyAlignment="1"/>
    <xf numFmtId="0" fontId="21" fillId="4" borderId="10" xfId="0" applyFont="1" applyFill="1" applyBorder="1" applyAlignment="1">
      <alignment horizontal="right" vertical="center"/>
    </xf>
    <xf numFmtId="0" fontId="21" fillId="4" borderId="10" xfId="0" applyFont="1" applyFill="1" applyBorder="1" applyAlignment="1">
      <alignment horizontal="center" vertical="center" wrapText="1"/>
    </xf>
    <xf numFmtId="0" fontId="21" fillId="4" borderId="10" xfId="0" applyFont="1" applyFill="1" applyBorder="1" applyAlignment="1">
      <alignment horizontal="center" vertical="center"/>
    </xf>
    <xf numFmtId="3" fontId="22" fillId="4" borderId="10" xfId="34" applyNumberFormat="1" applyFont="1" applyFill="1" applyBorder="1" applyAlignment="1">
      <alignment horizontal="center" vertical="center" wrapText="1"/>
    </xf>
    <xf numFmtId="165" fontId="22" fillId="4" borderId="10" xfId="34" applyNumberFormat="1" applyFont="1" applyFill="1" applyBorder="1" applyAlignment="1">
      <alignment horizontal="center" vertical="center" wrapText="1"/>
    </xf>
    <xf numFmtId="0" fontId="23" fillId="4" borderId="11" xfId="0" applyFont="1" applyFill="1" applyBorder="1" applyAlignment="1"/>
    <xf numFmtId="0" fontId="23" fillId="0" borderId="11" xfId="0" applyFont="1" applyFill="1" applyBorder="1" applyAlignment="1"/>
    <xf numFmtId="0" fontId="21" fillId="4" borderId="12" xfId="0" applyFont="1" applyFill="1" applyBorder="1" applyAlignment="1">
      <alignment horizontal="right" vertical="center"/>
    </xf>
    <xf numFmtId="0" fontId="47" fillId="4" borderId="11" xfId="0" applyFont="1" applyFill="1" applyBorder="1" applyAlignment="1">
      <alignment horizontal="left" wrapText="1"/>
    </xf>
    <xf numFmtId="3" fontId="47" fillId="4" borderId="11" xfId="0" applyNumberFormat="1" applyFont="1" applyFill="1" applyBorder="1" applyAlignment="1">
      <alignment horizontal="center"/>
    </xf>
    <xf numFmtId="165" fontId="47" fillId="4" borderId="11" xfId="0" applyNumberFormat="1" applyFont="1" applyFill="1" applyBorder="1" applyAlignment="1">
      <alignment horizontal="center"/>
    </xf>
    <xf numFmtId="4" fontId="47" fillId="4" borderId="11" xfId="0" applyNumberFormat="1" applyFont="1" applyFill="1" applyBorder="1" applyAlignment="1">
      <alignment horizontal="center"/>
    </xf>
    <xf numFmtId="0" fontId="47" fillId="4" borderId="0" xfId="0" applyFont="1" applyFill="1" applyAlignment="1"/>
    <xf numFmtId="0" fontId="47" fillId="5" borderId="0" xfId="0" applyFont="1" applyFill="1" applyAlignment="1"/>
    <xf numFmtId="0" fontId="48" fillId="4" borderId="11" xfId="27" applyFont="1" applyFill="1" applyBorder="1" applyAlignment="1">
      <alignment horizontal="right" vertical="center"/>
    </xf>
    <xf numFmtId="4" fontId="49" fillId="4" borderId="11" xfId="0" applyNumberFormat="1" applyFont="1" applyFill="1" applyBorder="1" applyAlignment="1">
      <alignment horizontal="left" wrapText="1"/>
    </xf>
    <xf numFmtId="4" fontId="48" fillId="4" borderId="11" xfId="0" applyNumberFormat="1" applyFont="1" applyFill="1" applyBorder="1" applyAlignment="1">
      <alignment horizontal="center"/>
    </xf>
    <xf numFmtId="165" fontId="48" fillId="4" borderId="11" xfId="0" applyNumberFormat="1" applyFont="1" applyFill="1" applyBorder="1" applyAlignment="1">
      <alignment horizontal="center"/>
    </xf>
    <xf numFmtId="0" fontId="48" fillId="4" borderId="0" xfId="0" applyFont="1" applyFill="1" applyAlignment="1"/>
    <xf numFmtId="0" fontId="48" fillId="5" borderId="0" xfId="0" applyFont="1" applyFill="1" applyAlignment="1"/>
    <xf numFmtId="3" fontId="48" fillId="4" borderId="11" xfId="0" applyNumberFormat="1" applyFont="1" applyFill="1" applyBorder="1" applyAlignment="1">
      <alignment horizontal="center"/>
    </xf>
    <xf numFmtId="3" fontId="48" fillId="4" borderId="11" xfId="0" applyNumberFormat="1" applyFont="1" applyFill="1" applyBorder="1" applyAlignment="1">
      <alignment horizontal="left" wrapText="1"/>
    </xf>
    <xf numFmtId="3" fontId="47" fillId="4" borderId="11" xfId="0" applyNumberFormat="1" applyFont="1" applyFill="1" applyBorder="1" applyAlignment="1">
      <alignment horizontal="left" wrapText="1"/>
    </xf>
    <xf numFmtId="4" fontId="47" fillId="4" borderId="11" xfId="0" applyNumberFormat="1" applyFont="1" applyFill="1" applyBorder="1" applyAlignment="1">
      <alignment horizontal="left" wrapText="1"/>
    </xf>
    <xf numFmtId="0" fontId="41" fillId="4" borderId="0" xfId="0" applyFont="1" applyFill="1" applyAlignment="1">
      <alignment vertical="center" wrapText="1"/>
    </xf>
    <xf numFmtId="4" fontId="48" fillId="4" borderId="11" xfId="0" applyNumberFormat="1" applyFont="1" applyFill="1" applyBorder="1" applyAlignment="1">
      <alignment horizontal="left" wrapText="1"/>
    </xf>
    <xf numFmtId="0" fontId="48" fillId="4" borderId="11" xfId="0" applyFont="1" applyFill="1" applyBorder="1" applyAlignment="1">
      <alignment horizontal="center"/>
    </xf>
    <xf numFmtId="0" fontId="48" fillId="4" borderId="11" xfId="0" applyFont="1" applyFill="1" applyBorder="1" applyAlignment="1">
      <alignment horizontal="left" wrapText="1"/>
    </xf>
    <xf numFmtId="0" fontId="49" fillId="4" borderId="11" xfId="0" applyFont="1" applyFill="1" applyBorder="1" applyAlignment="1">
      <alignment horizontal="left" wrapText="1"/>
    </xf>
    <xf numFmtId="0" fontId="46" fillId="4" borderId="11" xfId="0" applyFont="1" applyFill="1" applyBorder="1" applyAlignment="1">
      <alignment horizontal="left" wrapText="1"/>
    </xf>
    <xf numFmtId="0" fontId="46" fillId="4" borderId="11" xfId="0" applyFont="1" applyFill="1" applyBorder="1" applyAlignment="1">
      <alignment horizontal="center"/>
    </xf>
    <xf numFmtId="165" fontId="46" fillId="4" borderId="11" xfId="0" applyNumberFormat="1" applyFont="1" applyFill="1" applyBorder="1" applyAlignment="1">
      <alignment horizontal="center"/>
    </xf>
    <xf numFmtId="4" fontId="46" fillId="4" borderId="11" xfId="0" applyNumberFormat="1" applyFont="1" applyFill="1" applyBorder="1" applyAlignment="1">
      <alignment horizontal="center"/>
    </xf>
    <xf numFmtId="0" fontId="46" fillId="4" borderId="0" xfId="0" applyFont="1" applyFill="1" applyAlignment="1"/>
    <xf numFmtId="0" fontId="20" fillId="4" borderId="11" xfId="0" applyFont="1" applyFill="1" applyBorder="1" applyAlignment="1">
      <alignment horizontal="right" vertical="center"/>
    </xf>
    <xf numFmtId="0" fontId="20" fillId="4" borderId="11" xfId="0" applyFont="1" applyFill="1" applyBorder="1" applyAlignment="1">
      <alignment horizontal="center" vertical="center"/>
    </xf>
    <xf numFmtId="0" fontId="30" fillId="4" borderId="11" xfId="0" applyFont="1" applyFill="1" applyBorder="1" applyAlignment="1">
      <alignment horizontal="left" wrapText="1"/>
    </xf>
    <xf numFmtId="4" fontId="29" fillId="4" borderId="11" xfId="0" applyNumberFormat="1" applyFont="1" applyFill="1" applyBorder="1" applyAlignment="1">
      <alignment horizontal="center"/>
    </xf>
    <xf numFmtId="3" fontId="29" fillId="4" borderId="11" xfId="0" applyNumberFormat="1" applyFont="1" applyFill="1" applyBorder="1" applyAlignment="1">
      <alignment horizontal="center"/>
    </xf>
    <xf numFmtId="165" fontId="29" fillId="4" borderId="11" xfId="0" applyNumberFormat="1" applyFont="1" applyFill="1" applyBorder="1" applyAlignment="1">
      <alignment horizontal="center"/>
    </xf>
    <xf numFmtId="0" fontId="29" fillId="4" borderId="11" xfId="0" applyFont="1" applyFill="1" applyBorder="1" applyAlignment="1">
      <alignment horizontal="left" wrapText="1"/>
    </xf>
    <xf numFmtId="0" fontId="28" fillId="4" borderId="11" xfId="0" applyFont="1" applyFill="1" applyBorder="1" applyAlignment="1">
      <alignment horizontal="left" wrapText="1"/>
    </xf>
    <xf numFmtId="4" fontId="28" fillId="4" borderId="11" xfId="0" applyNumberFormat="1" applyFont="1" applyFill="1" applyBorder="1" applyAlignment="1">
      <alignment horizontal="center"/>
    </xf>
    <xf numFmtId="3" fontId="28" fillId="4" borderId="11" xfId="0" applyNumberFormat="1" applyFont="1" applyFill="1" applyBorder="1" applyAlignment="1">
      <alignment horizontal="center"/>
    </xf>
    <xf numFmtId="165" fontId="28" fillId="4" borderId="11" xfId="0" applyNumberFormat="1" applyFont="1" applyFill="1" applyBorder="1" applyAlignment="1">
      <alignment horizontal="center"/>
    </xf>
    <xf numFmtId="0" fontId="28" fillId="4" borderId="0" xfId="0" applyFont="1" applyFill="1"/>
    <xf numFmtId="0" fontId="29" fillId="4" borderId="11" xfId="0" applyFont="1" applyFill="1" applyBorder="1" applyAlignment="1">
      <alignment wrapText="1"/>
    </xf>
    <xf numFmtId="0" fontId="28" fillId="4" borderId="11" xfId="0" applyFont="1" applyFill="1" applyBorder="1" applyAlignment="1">
      <alignment wrapText="1"/>
    </xf>
    <xf numFmtId="43" fontId="29" fillId="4" borderId="11" xfId="4" applyFont="1" applyFill="1" applyBorder="1" applyAlignment="1">
      <alignment horizontal="center"/>
    </xf>
    <xf numFmtId="43" fontId="29" fillId="4" borderId="11" xfId="4" applyFont="1" applyFill="1" applyBorder="1" applyAlignment="1">
      <alignment horizontal="right"/>
    </xf>
    <xf numFmtId="0" fontId="20" fillId="4" borderId="11" xfId="0" applyFont="1" applyFill="1" applyBorder="1" applyAlignment="1">
      <alignment wrapText="1"/>
    </xf>
    <xf numFmtId="3" fontId="20" fillId="4" borderId="11" xfId="0" applyNumberFormat="1" applyFont="1" applyFill="1" applyBorder="1" applyAlignment="1"/>
    <xf numFmtId="165" fontId="28" fillId="4" borderId="11" xfId="0" applyNumberFormat="1" applyFont="1" applyFill="1" applyBorder="1" applyAlignment="1"/>
    <xf numFmtId="0" fontId="29" fillId="4" borderId="11" xfId="0" applyFont="1" applyFill="1" applyBorder="1"/>
    <xf numFmtId="0" fontId="28" fillId="4" borderId="11" xfId="0" applyFont="1" applyFill="1" applyBorder="1"/>
    <xf numFmtId="0" fontId="38" fillId="4" borderId="8" xfId="0" applyFont="1" applyFill="1" applyBorder="1" applyAlignment="1">
      <alignment vertical="top" wrapText="1"/>
    </xf>
    <xf numFmtId="0" fontId="39" fillId="4" borderId="8" xfId="0" applyFont="1" applyFill="1" applyBorder="1" applyAlignment="1">
      <alignment vertical="top" wrapText="1"/>
    </xf>
    <xf numFmtId="0" fontId="0" fillId="0" borderId="8" xfId="0" applyFont="1" applyFill="1" applyBorder="1" applyAlignment="1">
      <alignment horizontal="center" vertical="center"/>
    </xf>
    <xf numFmtId="0" fontId="30" fillId="0" borderId="8" xfId="0" applyFont="1" applyFill="1" applyBorder="1" applyAlignment="1">
      <alignment horizontal="left" wrapText="1"/>
    </xf>
    <xf numFmtId="0" fontId="0" fillId="0" borderId="8" xfId="0" applyFont="1" applyFill="1" applyBorder="1" applyAlignment="1"/>
    <xf numFmtId="0" fontId="29" fillId="0" borderId="8" xfId="0" applyFont="1" applyBorder="1" applyAlignment="1">
      <alignment horizontal="center" vertical="center"/>
    </xf>
    <xf numFmtId="0" fontId="28" fillId="0" borderId="8" xfId="0" applyFont="1" applyBorder="1" applyAlignment="1">
      <alignment horizontal="center" vertical="center" wrapText="1"/>
    </xf>
    <xf numFmtId="43" fontId="28" fillId="0" borderId="8" xfId="33" applyFont="1" applyBorder="1" applyAlignment="1">
      <alignment horizontal="right" vertical="center"/>
    </xf>
    <xf numFmtId="3" fontId="28" fillId="0" borderId="8" xfId="0" applyNumberFormat="1" applyFont="1" applyBorder="1" applyAlignment="1">
      <alignment horizontal="center" vertical="center"/>
    </xf>
    <xf numFmtId="0" fontId="28" fillId="0" borderId="8" xfId="0" applyFont="1" applyBorder="1" applyAlignment="1">
      <alignment horizontal="center" vertical="center"/>
    </xf>
    <xf numFmtId="0" fontId="24" fillId="0" borderId="8" xfId="0" applyFont="1" applyFill="1" applyBorder="1" applyAlignment="1">
      <alignment horizontal="center"/>
    </xf>
    <xf numFmtId="0" fontId="24" fillId="0" borderId="8" xfId="0" applyFont="1" applyFill="1" applyBorder="1" applyAlignment="1">
      <alignment horizontal="left" wrapText="1"/>
    </xf>
    <xf numFmtId="3" fontId="24" fillId="0" borderId="8" xfId="0" applyNumberFormat="1" applyFont="1" applyFill="1" applyBorder="1" applyAlignment="1">
      <alignment horizontal="center"/>
    </xf>
    <xf numFmtId="4" fontId="24" fillId="0" borderId="8" xfId="0" applyNumberFormat="1" applyFont="1" applyFill="1" applyBorder="1" applyAlignment="1">
      <alignment horizontal="center"/>
    </xf>
    <xf numFmtId="0" fontId="22" fillId="0" borderId="8" xfId="0" applyFont="1" applyFill="1" applyBorder="1" applyAlignment="1">
      <alignment horizontal="left" wrapText="1"/>
    </xf>
    <xf numFmtId="2" fontId="24" fillId="0" borderId="8" xfId="0" applyNumberFormat="1" applyFont="1" applyFill="1" applyBorder="1" applyAlignment="1">
      <alignment horizontal="center"/>
    </xf>
    <xf numFmtId="2" fontId="22" fillId="0" borderId="8" xfId="0" applyNumberFormat="1" applyFont="1" applyFill="1" applyBorder="1" applyAlignment="1">
      <alignment horizontal="center"/>
    </xf>
    <xf numFmtId="4" fontId="22" fillId="0" borderId="8" xfId="0" applyNumberFormat="1" applyFont="1" applyFill="1" applyBorder="1" applyAlignment="1">
      <alignment horizontal="center"/>
    </xf>
    <xf numFmtId="3" fontId="22" fillId="0" borderId="8" xfId="0" applyNumberFormat="1" applyFont="1" applyFill="1" applyBorder="1" applyAlignment="1">
      <alignment horizontal="center"/>
    </xf>
    <xf numFmtId="0" fontId="21" fillId="4" borderId="8" xfId="0" applyFont="1" applyFill="1" applyBorder="1" applyAlignment="1">
      <alignment horizontal="center" vertical="center" wrapText="1"/>
    </xf>
    <xf numFmtId="3" fontId="22" fillId="4" borderId="8" xfId="0" applyNumberFormat="1" applyFont="1" applyFill="1" applyBorder="1" applyAlignment="1">
      <alignment horizontal="center" vertical="center" wrapText="1"/>
    </xf>
    <xf numFmtId="2" fontId="33" fillId="0" borderId="8" xfId="0" applyNumberFormat="1" applyFont="1" applyBorder="1"/>
    <xf numFmtId="167" fontId="22" fillId="0" borderId="8" xfId="0" applyNumberFormat="1" applyFont="1" applyFill="1" applyBorder="1" applyAlignment="1">
      <alignment horizontal="center"/>
    </xf>
    <xf numFmtId="4" fontId="22" fillId="0" borderId="8" xfId="0" applyNumberFormat="1" applyFont="1" applyFill="1" applyBorder="1" applyAlignment="1">
      <alignment horizontal="left" wrapText="1"/>
    </xf>
    <xf numFmtId="0" fontId="22" fillId="0" borderId="8" xfId="0" applyFont="1" applyFill="1" applyBorder="1" applyAlignment="1">
      <alignment horizontal="center"/>
    </xf>
    <xf numFmtId="4" fontId="24" fillId="0" borderId="8" xfId="0" applyNumberFormat="1" applyFont="1" applyFill="1" applyBorder="1" applyAlignment="1">
      <alignment horizontal="left" wrapText="1"/>
    </xf>
    <xf numFmtId="0" fontId="28" fillId="4" borderId="8" xfId="0" applyFont="1" applyFill="1" applyBorder="1" applyAlignment="1">
      <alignment horizontal="center" vertical="center" wrapText="1"/>
    </xf>
    <xf numFmtId="0" fontId="29" fillId="4" borderId="8" xfId="0" applyFont="1" applyFill="1" applyBorder="1" applyAlignment="1">
      <alignment horizontal="center"/>
    </xf>
    <xf numFmtId="0" fontId="29" fillId="4" borderId="8" xfId="0" applyFont="1" applyFill="1" applyBorder="1"/>
    <xf numFmtId="0" fontId="28" fillId="3" borderId="8" xfId="0" applyFont="1" applyFill="1" applyBorder="1" applyAlignment="1">
      <alignment horizontal="center" vertical="center" wrapText="1"/>
    </xf>
    <xf numFmtId="3" fontId="28" fillId="3" borderId="8" xfId="0" applyNumberFormat="1" applyFont="1" applyFill="1" applyBorder="1" applyAlignment="1">
      <alignment horizontal="center" vertical="center" wrapText="1"/>
    </xf>
    <xf numFmtId="0" fontId="30" fillId="0" borderId="8" xfId="0" applyFont="1" applyFill="1" applyBorder="1" applyAlignment="1">
      <alignment horizontal="center" vertical="center"/>
    </xf>
    <xf numFmtId="3" fontId="29" fillId="0" borderId="8" xfId="0" applyNumberFormat="1" applyFont="1" applyFill="1" applyBorder="1" applyAlignment="1">
      <alignment horizontal="center" vertical="center"/>
    </xf>
    <xf numFmtId="0" fontId="30" fillId="0" borderId="8" xfId="0" applyFont="1" applyFill="1" applyBorder="1" applyAlignment="1">
      <alignment horizontal="left" vertical="center" wrapText="1"/>
    </xf>
    <xf numFmtId="0" fontId="29" fillId="0" borderId="8" xfId="0" applyFont="1" applyFill="1" applyBorder="1" applyAlignment="1">
      <alignment horizontal="center"/>
    </xf>
    <xf numFmtId="4" fontId="29" fillId="0" borderId="8" xfId="0" applyNumberFormat="1" applyFont="1" applyFill="1" applyBorder="1" applyAlignment="1">
      <alignment horizontal="center"/>
    </xf>
    <xf numFmtId="3" fontId="29" fillId="0" borderId="8" xfId="0" applyNumberFormat="1" applyFont="1" applyFill="1" applyBorder="1" applyAlignment="1">
      <alignment horizontal="center"/>
    </xf>
    <xf numFmtId="165" fontId="29" fillId="0" borderId="8" xfId="0" applyNumberFormat="1" applyFont="1" applyFill="1" applyBorder="1" applyAlignment="1">
      <alignment horizontal="center"/>
    </xf>
    <xf numFmtId="0" fontId="29" fillId="0" borderId="8" xfId="0" applyFont="1" applyFill="1" applyBorder="1" applyAlignment="1">
      <alignment horizontal="left" wrapText="1"/>
    </xf>
    <xf numFmtId="0" fontId="28" fillId="0" borderId="8" xfId="0" applyFont="1" applyFill="1" applyBorder="1" applyAlignment="1">
      <alignment horizontal="left" wrapText="1"/>
    </xf>
    <xf numFmtId="3" fontId="28" fillId="0" borderId="8" xfId="0" applyNumberFormat="1" applyFont="1" applyFill="1" applyBorder="1" applyAlignment="1">
      <alignment horizontal="center"/>
    </xf>
    <xf numFmtId="2" fontId="29" fillId="0" borderId="8" xfId="0" applyNumberFormat="1" applyFont="1" applyFill="1" applyBorder="1" applyAlignment="1">
      <alignment horizontal="center"/>
    </xf>
    <xf numFmtId="0" fontId="20" fillId="2" borderId="8" xfId="0" applyFont="1" applyFill="1" applyBorder="1" applyAlignment="1">
      <alignment horizontal="center" vertical="center"/>
    </xf>
    <xf numFmtId="0" fontId="20" fillId="2" borderId="8" xfId="0" applyFont="1" applyFill="1" applyBorder="1" applyAlignment="1">
      <alignment horizontal="center" vertical="center" wrapText="1"/>
    </xf>
    <xf numFmtId="3" fontId="28" fillId="2" borderId="8" xfId="0" applyNumberFormat="1" applyFont="1" applyFill="1" applyBorder="1" applyAlignment="1">
      <alignment horizontal="center" vertical="center"/>
    </xf>
    <xf numFmtId="3" fontId="28" fillId="2" borderId="8" xfId="34" applyNumberFormat="1" applyFont="1" applyFill="1" applyBorder="1" applyAlignment="1">
      <alignment horizontal="center" vertical="center"/>
    </xf>
    <xf numFmtId="0" fontId="0" fillId="0" borderId="0" xfId="0" applyFont="1" applyFill="1" applyAlignment="1">
      <alignment vertical="center"/>
    </xf>
    <xf numFmtId="4" fontId="29" fillId="0" borderId="8" xfId="0" applyNumberFormat="1" applyFont="1" applyFill="1" applyBorder="1" applyAlignment="1">
      <alignment horizontal="center" vertical="center"/>
    </xf>
    <xf numFmtId="0" fontId="0" fillId="0" borderId="0" xfId="0" applyFont="1" applyFill="1" applyBorder="1" applyAlignment="1"/>
    <xf numFmtId="3" fontId="0" fillId="0" borderId="8" xfId="0" applyNumberFormat="1" applyFont="1" applyFill="1" applyBorder="1" applyAlignment="1">
      <alignment horizontal="center" vertical="center"/>
    </xf>
    <xf numFmtId="0" fontId="30" fillId="0" borderId="8" xfId="16" applyFont="1" applyFill="1" applyBorder="1" applyAlignment="1">
      <alignment vertical="center" wrapText="1"/>
    </xf>
    <xf numFmtId="0" fontId="29" fillId="0" borderId="8" xfId="27" applyFont="1" applyFill="1" applyBorder="1" applyAlignment="1">
      <alignment horizontal="left" vertical="center" wrapText="1"/>
    </xf>
    <xf numFmtId="4" fontId="50" fillId="0" borderId="8" xfId="0" applyNumberFormat="1" applyFont="1" applyFill="1" applyBorder="1" applyAlignment="1">
      <alignment horizontal="right" vertical="center"/>
    </xf>
    <xf numFmtId="0" fontId="20" fillId="0" borderId="8" xfId="0" applyFont="1" applyFill="1" applyBorder="1" applyAlignment="1">
      <alignment horizontal="center" vertical="center"/>
    </xf>
    <xf numFmtId="0" fontId="51" fillId="0" borderId="8" xfId="0" applyFont="1" applyFill="1" applyBorder="1" applyAlignment="1">
      <alignment horizontal="left" vertical="center" wrapText="1"/>
    </xf>
    <xf numFmtId="3" fontId="20" fillId="0" borderId="8" xfId="0" applyNumberFormat="1" applyFont="1" applyFill="1" applyBorder="1" applyAlignment="1">
      <alignment horizontal="center" vertical="center"/>
    </xf>
    <xf numFmtId="4" fontId="52" fillId="0" borderId="8" xfId="0" applyNumberFormat="1" applyFont="1" applyFill="1" applyBorder="1" applyAlignment="1">
      <alignment horizontal="right" vertical="center"/>
    </xf>
    <xf numFmtId="0" fontId="20" fillId="0" borderId="0" xfId="0" applyFont="1" applyFill="1" applyAlignment="1">
      <alignment vertical="center"/>
    </xf>
    <xf numFmtId="0" fontId="20" fillId="0" borderId="8" xfId="0" applyFont="1" applyFill="1" applyBorder="1" applyAlignment="1">
      <alignment vertical="center" wrapText="1"/>
    </xf>
    <xf numFmtId="0" fontId="0" fillId="0" borderId="8" xfId="0" applyFont="1" applyFill="1" applyBorder="1" applyAlignment="1">
      <alignment vertical="center" wrapText="1"/>
    </xf>
    <xf numFmtId="0" fontId="28" fillId="0" borderId="8" xfId="27" applyFont="1" applyFill="1" applyBorder="1" applyAlignment="1">
      <alignment horizontal="left" vertical="center" wrapText="1"/>
    </xf>
    <xf numFmtId="0" fontId="50" fillId="0" borderId="8" xfId="16" applyFont="1" applyFill="1" applyBorder="1" applyAlignment="1">
      <alignment horizontal="left" vertical="center" wrapText="1"/>
    </xf>
    <xf numFmtId="0" fontId="30" fillId="0" borderId="8" xfId="16" applyFont="1" applyFill="1" applyBorder="1" applyAlignment="1">
      <alignment horizontal="center" vertical="center" wrapText="1"/>
    </xf>
    <xf numFmtId="0" fontId="29" fillId="0" borderId="8" xfId="16" applyFont="1" applyFill="1" applyBorder="1" applyAlignment="1">
      <alignment horizontal="left" vertical="center" wrapText="1"/>
    </xf>
    <xf numFmtId="0" fontId="30" fillId="0" borderId="8" xfId="16" applyFont="1" applyFill="1" applyBorder="1" applyAlignment="1">
      <alignment horizontal="left" vertical="center" wrapText="1"/>
    </xf>
    <xf numFmtId="0" fontId="31" fillId="0" borderId="8" xfId="27"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8" xfId="16" applyFont="1" applyFill="1" applyBorder="1" applyAlignment="1">
      <alignment horizontal="left" vertical="center" wrapText="1"/>
    </xf>
    <xf numFmtId="2"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wrapText="1"/>
    </xf>
    <xf numFmtId="0" fontId="54" fillId="0" borderId="8" xfId="0" applyFont="1" applyFill="1" applyBorder="1" applyAlignment="1">
      <alignment vertical="center" wrapText="1"/>
    </xf>
    <xf numFmtId="0" fontId="55" fillId="0" borderId="8" xfId="0" applyFont="1" applyFill="1" applyBorder="1" applyAlignment="1">
      <alignment vertical="center" wrapText="1"/>
    </xf>
    <xf numFmtId="2" fontId="20" fillId="0" borderId="8" xfId="0" applyNumberFormat="1" applyFont="1" applyFill="1" applyBorder="1" applyAlignment="1">
      <alignment horizontal="center" vertical="center"/>
    </xf>
    <xf numFmtId="0" fontId="0" fillId="0" borderId="0" xfId="0" applyFont="1" applyFill="1" applyBorder="1" applyAlignment="1">
      <alignment vertical="center"/>
    </xf>
    <xf numFmtId="0" fontId="29" fillId="0" borderId="8" xfId="0" applyFont="1" applyFill="1" applyBorder="1" applyAlignment="1">
      <alignment horizontal="left" vertical="center" wrapText="1"/>
    </xf>
    <xf numFmtId="165" fontId="20" fillId="0" borderId="8" xfId="0" applyNumberFormat="1" applyFont="1" applyFill="1" applyBorder="1" applyAlignment="1">
      <alignment horizontal="center" vertical="center"/>
    </xf>
    <xf numFmtId="0" fontId="20" fillId="0" borderId="0" xfId="0" applyFont="1" applyFill="1" applyBorder="1" applyAlignment="1">
      <alignment vertical="center"/>
    </xf>
    <xf numFmtId="165" fontId="0" fillId="0" borderId="8" xfId="0" applyNumberFormat="1" applyFont="1" applyFill="1" applyBorder="1" applyAlignment="1">
      <alignment horizontal="center" vertical="center"/>
    </xf>
    <xf numFmtId="2" fontId="50" fillId="0" borderId="8" xfId="0" applyNumberFormat="1" applyFont="1" applyFill="1" applyBorder="1" applyAlignment="1">
      <alignment horizontal="center" vertical="center"/>
    </xf>
    <xf numFmtId="1" fontId="50" fillId="0" borderId="8" xfId="0" applyNumberFormat="1" applyFont="1" applyFill="1" applyBorder="1" applyAlignment="1">
      <alignment horizontal="center" vertical="center"/>
    </xf>
    <xf numFmtId="0" fontId="50" fillId="0" borderId="8" xfId="0" applyFont="1" applyFill="1" applyBorder="1" applyAlignment="1">
      <alignment horizontal="center" vertical="center"/>
    </xf>
    <xf numFmtId="0" fontId="50" fillId="0" borderId="8" xfId="0" applyFont="1" applyFill="1" applyBorder="1" applyAlignment="1">
      <alignment horizontal="left" vertical="center" wrapText="1"/>
    </xf>
    <xf numFmtId="0" fontId="54" fillId="0" borderId="8" xfId="0" applyFont="1" applyFill="1" applyBorder="1" applyAlignment="1">
      <alignment horizontal="left" vertical="center" wrapText="1"/>
    </xf>
    <xf numFmtId="0" fontId="53" fillId="0" borderId="8" xfId="0" applyFont="1" applyFill="1" applyBorder="1" applyAlignment="1">
      <alignment horizontal="left" vertical="center" wrapText="1"/>
    </xf>
    <xf numFmtId="2" fontId="50" fillId="0" borderId="8" xfId="16" applyNumberFormat="1" applyFont="1" applyFill="1" applyBorder="1" applyAlignment="1">
      <alignment horizontal="center" vertical="center"/>
    </xf>
    <xf numFmtId="0" fontId="54" fillId="0" borderId="8" xfId="16" applyFont="1" applyFill="1" applyBorder="1" applyAlignment="1">
      <alignment horizontal="left" vertical="center" wrapText="1"/>
    </xf>
    <xf numFmtId="0" fontId="50" fillId="0" borderId="8" xfId="16" applyFont="1" applyFill="1" applyBorder="1" applyAlignment="1">
      <alignment horizontal="center" vertical="center"/>
    </xf>
    <xf numFmtId="0" fontId="53" fillId="0" borderId="8" xfId="16" applyFont="1" applyFill="1" applyBorder="1" applyAlignment="1">
      <alignment horizontal="left" vertical="center" wrapText="1"/>
    </xf>
    <xf numFmtId="0" fontId="29" fillId="0" borderId="8" xfId="16" applyFont="1" applyFill="1" applyBorder="1" applyAlignment="1">
      <alignment vertical="center" wrapText="1"/>
    </xf>
    <xf numFmtId="0" fontId="56" fillId="0" borderId="8" xfId="0" applyFont="1" applyFill="1" applyBorder="1" applyAlignment="1">
      <alignment horizontal="left" vertical="center" wrapText="1"/>
    </xf>
    <xf numFmtId="0" fontId="29" fillId="0" borderId="8" xfId="16" applyFont="1" applyFill="1" applyBorder="1" applyAlignment="1">
      <alignment horizontal="center" vertical="center"/>
    </xf>
    <xf numFmtId="0" fontId="53" fillId="0" borderId="8" xfId="0" applyFont="1" applyFill="1" applyBorder="1" applyAlignment="1">
      <alignment horizontal="center" vertical="center"/>
    </xf>
    <xf numFmtId="0" fontId="53" fillId="0" borderId="8" xfId="0" applyFont="1" applyFill="1" applyBorder="1" applyAlignment="1">
      <alignment vertical="center"/>
    </xf>
    <xf numFmtId="4" fontId="50" fillId="0" borderId="0" xfId="0" applyNumberFormat="1" applyFont="1" applyFill="1" applyBorder="1" applyAlignment="1">
      <alignment horizontal="center" vertical="center"/>
    </xf>
    <xf numFmtId="43" fontId="50" fillId="0" borderId="0" xfId="4" applyFont="1" applyFill="1" applyBorder="1" applyAlignment="1">
      <alignment horizontal="right" vertical="center"/>
    </xf>
    <xf numFmtId="0" fontId="50" fillId="0" borderId="8" xfId="0" applyFont="1" applyFill="1" applyBorder="1" applyAlignment="1">
      <alignment vertical="center"/>
    </xf>
    <xf numFmtId="3" fontId="53" fillId="0" borderId="8" xfId="0" applyNumberFormat="1" applyFont="1" applyFill="1" applyBorder="1" applyAlignment="1">
      <alignment horizontal="center" vertical="center"/>
    </xf>
    <xf numFmtId="4" fontId="50" fillId="0" borderId="8" xfId="0" applyNumberFormat="1" applyFont="1" applyFill="1" applyBorder="1" applyAlignment="1">
      <alignment horizontal="center" vertical="center"/>
    </xf>
    <xf numFmtId="0" fontId="53" fillId="0" borderId="8" xfId="0" applyFont="1" applyFill="1" applyBorder="1" applyAlignment="1">
      <alignment horizontal="center" vertical="center" wrapText="1"/>
    </xf>
    <xf numFmtId="3" fontId="50" fillId="0" borderId="8" xfId="0" applyNumberFormat="1" applyFont="1" applyFill="1" applyBorder="1" applyAlignment="1">
      <alignment horizontal="center" vertical="center"/>
    </xf>
    <xf numFmtId="0" fontId="50" fillId="0" borderId="8" xfId="0" applyFont="1" applyFill="1" applyBorder="1" applyAlignment="1">
      <alignment horizontal="center" vertical="center" wrapText="1"/>
    </xf>
    <xf numFmtId="3" fontId="50" fillId="0" borderId="8" xfId="13" quotePrefix="1" applyNumberFormat="1" applyFont="1" applyFill="1" applyBorder="1" applyAlignment="1">
      <alignment horizontal="center" vertical="center"/>
    </xf>
    <xf numFmtId="4" fontId="54" fillId="0" borderId="8"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8" fillId="0" borderId="8" xfId="0" applyFont="1" applyFill="1" applyBorder="1" applyAlignment="1">
      <alignment horizontal="center" vertical="center"/>
    </xf>
    <xf numFmtId="4" fontId="28" fillId="0" borderId="8" xfId="0" applyNumberFormat="1" applyFont="1" applyFill="1" applyBorder="1" applyAlignment="1">
      <alignment horizontal="center" vertical="center"/>
    </xf>
    <xf numFmtId="0" fontId="30" fillId="0" borderId="8" xfId="0" applyFont="1" applyFill="1" applyBorder="1" applyAlignment="1">
      <alignment horizontal="left"/>
    </xf>
    <xf numFmtId="0" fontId="0" fillId="0" borderId="0" xfId="0" applyFont="1" applyFill="1" applyBorder="1"/>
    <xf numFmtId="2" fontId="28" fillId="0" borderId="8" xfId="0" applyNumberFormat="1" applyFont="1" applyFill="1" applyBorder="1" applyAlignment="1">
      <alignment horizontal="center"/>
    </xf>
    <xf numFmtId="0" fontId="29" fillId="0" borderId="8" xfId="0" applyFont="1" applyFill="1" applyBorder="1" applyAlignment="1">
      <alignment horizontal="center" vertical="center"/>
    </xf>
    <xf numFmtId="0" fontId="30" fillId="0" borderId="8" xfId="0" applyNumberFormat="1" applyFont="1" applyFill="1" applyBorder="1" applyAlignment="1">
      <alignment horizontal="left"/>
    </xf>
    <xf numFmtId="0" fontId="0" fillId="0" borderId="8" xfId="0" applyFont="1" applyBorder="1" applyAlignment="1">
      <alignment horizontal="center" vertical="center"/>
    </xf>
    <xf numFmtId="0" fontId="30" fillId="0" borderId="8" xfId="35" applyFont="1" applyBorder="1" applyAlignment="1">
      <alignment horizontal="left"/>
    </xf>
    <xf numFmtId="3" fontId="30" fillId="0" borderId="8" xfId="35" applyNumberFormat="1" applyFont="1" applyBorder="1" applyAlignment="1">
      <alignment horizontal="center" vertical="center"/>
    </xf>
    <xf numFmtId="1" fontId="29" fillId="0" borderId="8" xfId="0" applyNumberFormat="1" applyFont="1" applyBorder="1" applyAlignment="1">
      <alignment horizontal="center" vertical="center"/>
    </xf>
    <xf numFmtId="0" fontId="0" fillId="0" borderId="0" xfId="0" applyFont="1" applyAlignment="1"/>
    <xf numFmtId="3" fontId="0" fillId="0" borderId="8" xfId="0" applyNumberFormat="1" applyFont="1" applyBorder="1" applyAlignment="1">
      <alignment horizontal="center" vertical="center"/>
    </xf>
    <xf numFmtId="0" fontId="29" fillId="0" borderId="8" xfId="36" applyFont="1" applyBorder="1" applyAlignment="1"/>
    <xf numFmtId="0" fontId="29" fillId="0" borderId="8" xfId="35" applyFont="1" applyBorder="1" applyAlignment="1"/>
    <xf numFmtId="167" fontId="29" fillId="0" borderId="8" xfId="0" applyNumberFormat="1" applyFont="1" applyBorder="1" applyAlignment="1">
      <alignment horizontal="center" vertical="center"/>
    </xf>
    <xf numFmtId="0" fontId="29" fillId="0" borderId="8" xfId="37" applyFont="1" applyBorder="1" applyAlignment="1"/>
    <xf numFmtId="4" fontId="30" fillId="0" borderId="8" xfId="0" applyNumberFormat="1" applyFont="1" applyFill="1" applyBorder="1" applyAlignment="1">
      <alignment horizontal="left"/>
    </xf>
    <xf numFmtId="0" fontId="0" fillId="0" borderId="8" xfId="0" applyBorder="1"/>
    <xf numFmtId="0" fontId="0" fillId="0" borderId="8" xfId="0" applyFill="1" applyBorder="1"/>
    <xf numFmtId="4" fontId="28" fillId="3" borderId="8" xfId="0" applyNumberFormat="1" applyFont="1" applyFill="1" applyBorder="1" applyAlignment="1">
      <alignment horizontal="center" vertical="center" wrapText="1"/>
    </xf>
    <xf numFmtId="0" fontId="13" fillId="0" borderId="8" xfId="0" applyFont="1" applyFill="1" applyBorder="1" applyAlignment="1">
      <alignment horizontal="center"/>
    </xf>
    <xf numFmtId="0" fontId="14" fillId="0" borderId="8" xfId="0" applyFont="1" applyFill="1" applyBorder="1" applyAlignment="1">
      <alignment horizontal="left" wrapText="1"/>
    </xf>
    <xf numFmtId="0" fontId="13" fillId="0" borderId="8" xfId="0" applyFont="1" applyFill="1" applyBorder="1" applyAlignment="1"/>
    <xf numFmtId="0" fontId="29" fillId="0" borderId="8" xfId="0" applyFont="1" applyFill="1" applyBorder="1" applyAlignment="1">
      <alignment horizontal="center" vertical="center" wrapText="1"/>
    </xf>
    <xf numFmtId="0" fontId="25" fillId="0" borderId="8" xfId="0" applyFont="1" applyFill="1" applyBorder="1" applyAlignment="1">
      <alignment horizontal="left" wrapText="1"/>
    </xf>
    <xf numFmtId="165" fontId="24" fillId="0" borderId="8" xfId="0" applyNumberFormat="1" applyFont="1" applyFill="1" applyBorder="1" applyAlignment="1">
      <alignment horizontal="center"/>
    </xf>
    <xf numFmtId="0" fontId="26" fillId="0" borderId="8" xfId="0" applyFont="1" applyFill="1" applyBorder="1" applyAlignment="1">
      <alignment horizontal="left" wrapText="1"/>
    </xf>
    <xf numFmtId="165" fontId="22" fillId="0" borderId="8" xfId="0" applyNumberFormat="1" applyFont="1" applyFill="1" applyBorder="1" applyAlignment="1">
      <alignment horizontal="center"/>
    </xf>
    <xf numFmtId="3" fontId="28" fillId="4" borderId="8" xfId="0" applyNumberFormat="1" applyFont="1" applyFill="1" applyBorder="1" applyAlignment="1">
      <alignment horizontal="center" vertical="center" wrapText="1"/>
    </xf>
    <xf numFmtId="4" fontId="28" fillId="4" borderId="8" xfId="0" applyNumberFormat="1" applyFont="1" applyFill="1" applyBorder="1" applyAlignment="1">
      <alignment horizontal="center" vertical="center" wrapText="1"/>
    </xf>
    <xf numFmtId="0" fontId="26" fillId="0" borderId="8" xfId="27" applyFont="1" applyFill="1" applyBorder="1" applyAlignment="1">
      <alignment horizontal="left" wrapText="1"/>
    </xf>
    <xf numFmtId="3" fontId="24" fillId="0" borderId="8" xfId="4" applyNumberFormat="1" applyFont="1" applyFill="1" applyBorder="1" applyAlignment="1"/>
    <xf numFmtId="165" fontId="24" fillId="0" borderId="8" xfId="4" applyNumberFormat="1" applyFont="1" applyFill="1" applyBorder="1" applyAlignment="1"/>
    <xf numFmtId="0" fontId="22" fillId="0" borderId="8" xfId="19" applyFont="1" applyFill="1" applyBorder="1" applyAlignment="1">
      <alignment horizontal="center" wrapText="1"/>
    </xf>
    <xf numFmtId="0" fontId="27" fillId="0" borderId="8" xfId="0" applyFont="1" applyFill="1" applyBorder="1" applyAlignment="1">
      <alignment horizontal="center" vertical="center" wrapText="1"/>
    </xf>
    <xf numFmtId="3" fontId="24" fillId="0" borderId="8" xfId="0" applyNumberFormat="1" applyFont="1" applyFill="1" applyBorder="1" applyAlignment="1">
      <alignment wrapText="1"/>
    </xf>
    <xf numFmtId="165" fontId="24" fillId="0" borderId="8" xfId="0" applyNumberFormat="1" applyFont="1" applyFill="1" applyBorder="1" applyAlignment="1">
      <alignment wrapText="1"/>
    </xf>
    <xf numFmtId="0" fontId="24" fillId="0" borderId="8" xfId="19" applyFont="1" applyFill="1" applyBorder="1" applyAlignment="1">
      <alignment horizontal="center" wrapText="1"/>
    </xf>
    <xf numFmtId="43" fontId="24" fillId="0" borderId="8" xfId="4" applyFont="1" applyFill="1" applyBorder="1" applyAlignment="1">
      <alignment horizontal="center"/>
    </xf>
    <xf numFmtId="3" fontId="24" fillId="0" borderId="8" xfId="4" applyNumberFormat="1" applyFont="1" applyFill="1" applyBorder="1" applyAlignment="1">
      <alignment horizontal="right"/>
    </xf>
    <xf numFmtId="165" fontId="24" fillId="0" borderId="8" xfId="4" applyNumberFormat="1" applyFont="1" applyFill="1" applyBorder="1" applyAlignment="1">
      <alignment horizontal="right"/>
    </xf>
    <xf numFmtId="0" fontId="24" fillId="0" borderId="8" xfId="19" applyFont="1" applyFill="1" applyBorder="1" applyAlignment="1">
      <alignment horizontal="left" wrapText="1"/>
    </xf>
    <xf numFmtId="0" fontId="35" fillId="0" borderId="8" xfId="0" applyFont="1" applyBorder="1"/>
    <xf numFmtId="0" fontId="35" fillId="0" borderId="8" xfId="0" applyFont="1" applyFill="1" applyBorder="1"/>
    <xf numFmtId="0" fontId="22" fillId="0" borderId="0" xfId="0" applyFont="1" applyFill="1" applyBorder="1" applyAlignment="1">
      <alignment wrapText="1"/>
    </xf>
    <xf numFmtId="3" fontId="28" fillId="0" borderId="8" xfId="0" applyNumberFormat="1" applyFont="1" applyBorder="1" applyAlignment="1">
      <alignment horizontal="center" vertical="center" wrapText="1"/>
    </xf>
    <xf numFmtId="4" fontId="28" fillId="0" borderId="8" xfId="0" applyNumberFormat="1" applyFont="1" applyBorder="1" applyAlignment="1">
      <alignment horizontal="center" vertical="center" wrapText="1"/>
    </xf>
    <xf numFmtId="0" fontId="28" fillId="0" borderId="8" xfId="0" applyFont="1" applyBorder="1" applyAlignment="1">
      <alignment horizontal="left" vertical="center" wrapText="1"/>
    </xf>
    <xf numFmtId="4" fontId="29" fillId="0" borderId="8" xfId="0" applyNumberFormat="1" applyFont="1" applyBorder="1" applyAlignment="1">
      <alignment horizontal="center" vertical="center"/>
    </xf>
    <xf numFmtId="4" fontId="31" fillId="0" borderId="8" xfId="0" applyNumberFormat="1" applyFont="1" applyFill="1" applyBorder="1" applyAlignment="1">
      <alignment horizontal="center"/>
    </xf>
    <xf numFmtId="0" fontId="29" fillId="0" borderId="5" xfId="0" applyFont="1" applyFill="1" applyBorder="1" applyAlignment="1">
      <alignment horizontal="right" vertical="center"/>
    </xf>
    <xf numFmtId="0" fontId="6" fillId="0" borderId="5" xfId="0" applyFont="1" applyFill="1" applyBorder="1" applyAlignment="1">
      <alignment horizontal="right" vertical="center"/>
    </xf>
    <xf numFmtId="2" fontId="29" fillId="0" borderId="5" xfId="0" applyNumberFormat="1" applyFont="1" applyFill="1" applyBorder="1" applyAlignment="1">
      <alignment horizontal="right" vertical="center"/>
    </xf>
    <xf numFmtId="0" fontId="28" fillId="0" borderId="5" xfId="0" applyFont="1" applyFill="1" applyBorder="1" applyAlignment="1">
      <alignment horizontal="right" vertical="center"/>
    </xf>
    <xf numFmtId="0" fontId="22" fillId="4" borderId="3" xfId="0" applyFont="1" applyFill="1" applyBorder="1" applyAlignment="1">
      <alignment horizontal="right" vertical="center"/>
    </xf>
    <xf numFmtId="0" fontId="24" fillId="4" borderId="3" xfId="0" applyFont="1" applyFill="1" applyBorder="1" applyAlignment="1">
      <alignment horizontal="right" vertical="center"/>
    </xf>
    <xf numFmtId="0" fontId="28" fillId="4" borderId="8" xfId="0" applyFont="1" applyFill="1" applyBorder="1" applyAlignment="1">
      <alignment horizontal="right" vertical="center"/>
    </xf>
    <xf numFmtId="0" fontId="40" fillId="4" borderId="9" xfId="0" applyNumberFormat="1" applyFont="1" applyFill="1" applyBorder="1" applyAlignment="1">
      <alignment horizontal="right" vertical="center" wrapText="1"/>
    </xf>
    <xf numFmtId="0" fontId="41" fillId="4" borderId="9" xfId="0" applyNumberFormat="1" applyFont="1" applyFill="1" applyBorder="1" applyAlignment="1">
      <alignment horizontal="right" vertical="center" wrapText="1"/>
    </xf>
    <xf numFmtId="0" fontId="41" fillId="4" borderId="9" xfId="0" applyFont="1" applyFill="1" applyBorder="1" applyAlignment="1">
      <alignment horizontal="right" vertical="center" wrapText="1"/>
    </xf>
    <xf numFmtId="2" fontId="41" fillId="4" borderId="9" xfId="0" applyNumberFormat="1" applyFont="1" applyFill="1" applyBorder="1" applyAlignment="1">
      <alignment horizontal="right" vertical="center" wrapText="1"/>
    </xf>
    <xf numFmtId="0" fontId="42" fillId="4" borderId="9" xfId="0" applyFont="1" applyFill="1" applyBorder="1" applyAlignment="1">
      <alignment horizontal="right" vertical="center" wrapText="1"/>
    </xf>
    <xf numFmtId="1" fontId="40" fillId="4" borderId="9" xfId="0" applyNumberFormat="1" applyFont="1" applyFill="1" applyBorder="1" applyAlignment="1">
      <alignment horizontal="right" vertical="center" wrapText="1"/>
    </xf>
    <xf numFmtId="0" fontId="41" fillId="4" borderId="9" xfId="0" applyFont="1" applyFill="1" applyBorder="1" applyAlignment="1">
      <alignment horizontal="right" vertical="center"/>
    </xf>
    <xf numFmtId="0" fontId="46" fillId="4" borderId="11" xfId="0" applyFont="1" applyFill="1" applyBorder="1" applyAlignment="1">
      <alignment horizontal="right" vertical="center"/>
    </xf>
    <xf numFmtId="0" fontId="48" fillId="4" borderId="11" xfId="0" applyFont="1" applyFill="1" applyBorder="1" applyAlignment="1">
      <alignment horizontal="right" vertical="center"/>
    </xf>
    <xf numFmtId="0" fontId="29" fillId="4" borderId="11" xfId="0" applyFont="1" applyFill="1" applyBorder="1" applyAlignment="1">
      <alignment horizontal="right" vertical="center"/>
    </xf>
    <xf numFmtId="0" fontId="28" fillId="4" borderId="11" xfId="0" applyFont="1" applyFill="1" applyBorder="1" applyAlignment="1">
      <alignment horizontal="right" vertical="center"/>
    </xf>
    <xf numFmtId="0" fontId="29" fillId="4" borderId="11" xfId="19" applyFont="1" applyFill="1" applyBorder="1" applyAlignment="1">
      <alignment horizontal="right" vertical="center" wrapText="1"/>
    </xf>
    <xf numFmtId="0" fontId="29" fillId="0" borderId="0" xfId="0" applyFont="1" applyAlignment="1">
      <alignment vertical="center"/>
    </xf>
    <xf numFmtId="4" fontId="46" fillId="4" borderId="11" xfId="0" applyNumberFormat="1" applyFont="1" applyFill="1" applyBorder="1" applyAlignment="1">
      <alignment horizontal="left" vertical="center" wrapText="1"/>
    </xf>
    <xf numFmtId="4" fontId="29" fillId="4" borderId="11" xfId="0" applyNumberFormat="1" applyFont="1" applyFill="1" applyBorder="1" applyAlignment="1">
      <alignment wrapText="1"/>
    </xf>
    <xf numFmtId="0" fontId="29" fillId="4" borderId="8" xfId="0" applyFont="1" applyFill="1" applyBorder="1" applyAlignment="1">
      <alignment horizontal="right" vertical="center"/>
    </xf>
    <xf numFmtId="0" fontId="29" fillId="4" borderId="8" xfId="0" applyFont="1" applyFill="1" applyBorder="1" applyAlignment="1">
      <alignment horizontal="left" wrapText="1"/>
    </xf>
    <xf numFmtId="165" fontId="32" fillId="4" borderId="8" xfId="0" applyNumberFormat="1" applyFont="1" applyFill="1" applyBorder="1" applyAlignment="1">
      <alignment horizontal="center"/>
    </xf>
    <xf numFmtId="0" fontId="48" fillId="4" borderId="8" xfId="0" applyFont="1" applyFill="1" applyBorder="1" applyAlignment="1">
      <alignment horizontal="center"/>
    </xf>
    <xf numFmtId="0" fontId="29" fillId="0" borderId="0" xfId="0" applyFont="1" applyAlignment="1">
      <alignment wrapText="1"/>
    </xf>
    <xf numFmtId="0" fontId="20" fillId="4" borderId="8" xfId="0" applyFont="1" applyFill="1" applyBorder="1" applyAlignment="1">
      <alignment horizontal="left" wrapText="1"/>
    </xf>
    <xf numFmtId="0" fontId="29" fillId="4" borderId="8" xfId="0" applyFont="1" applyFill="1" applyBorder="1" applyAlignment="1">
      <alignment wrapText="1"/>
    </xf>
    <xf numFmtId="2" fontId="24" fillId="0" borderId="8" xfId="19" applyNumberFormat="1" applyFont="1" applyFill="1" applyBorder="1" applyAlignment="1">
      <alignment horizontal="center" wrapText="1"/>
    </xf>
    <xf numFmtId="0" fontId="48" fillId="4" borderId="9" xfId="0" applyFont="1" applyFill="1" applyBorder="1" applyAlignment="1">
      <alignment wrapText="1"/>
    </xf>
    <xf numFmtId="0" fontId="48" fillId="4" borderId="9" xfId="0" applyFont="1" applyFill="1" applyBorder="1" applyAlignment="1"/>
    <xf numFmtId="0" fontId="20" fillId="4" borderId="8" xfId="0" applyFont="1" applyFill="1" applyBorder="1" applyAlignment="1">
      <alignment wrapText="1"/>
    </xf>
    <xf numFmtId="0" fontId="28" fillId="4" borderId="8" xfId="0" applyFont="1" applyFill="1" applyBorder="1" applyAlignment="1">
      <alignment wrapText="1"/>
    </xf>
    <xf numFmtId="0" fontId="28" fillId="4" borderId="7" xfId="0" applyFont="1" applyFill="1" applyBorder="1" applyAlignment="1">
      <alignment horizontal="right" vertical="center" wrapText="1"/>
    </xf>
    <xf numFmtId="0" fontId="30" fillId="4" borderId="7" xfId="0" applyFont="1" applyFill="1" applyBorder="1" applyAlignment="1">
      <alignment horizontal="left" wrapText="1"/>
    </xf>
    <xf numFmtId="0" fontId="30" fillId="4" borderId="7" xfId="0" applyFont="1" applyFill="1" applyBorder="1" applyAlignment="1">
      <alignment horizontal="center" vertical="center" wrapText="1"/>
    </xf>
    <xf numFmtId="3" fontId="28" fillId="4" borderId="7" xfId="0" applyNumberFormat="1" applyFont="1" applyFill="1" applyBorder="1" applyAlignment="1">
      <alignment horizontal="center" vertical="center" wrapText="1"/>
    </xf>
    <xf numFmtId="165" fontId="28" fillId="4" borderId="7" xfId="0" applyNumberFormat="1" applyFont="1" applyFill="1" applyBorder="1" applyAlignment="1">
      <alignment vertical="center" wrapText="1"/>
    </xf>
    <xf numFmtId="44" fontId="28" fillId="4" borderId="7" xfId="38" applyFont="1" applyFill="1" applyBorder="1" applyAlignment="1">
      <alignment vertical="center" wrapText="1"/>
    </xf>
    <xf numFmtId="0" fontId="28" fillId="4" borderId="0" xfId="0" applyFont="1" applyFill="1" applyBorder="1" applyAlignment="1"/>
    <xf numFmtId="169" fontId="28" fillId="0" borderId="7" xfId="31" applyNumberFormat="1" applyFont="1" applyFill="1" applyBorder="1" applyAlignment="1" applyProtection="1">
      <alignment horizontal="center" vertical="center" wrapText="1"/>
    </xf>
    <xf numFmtId="2" fontId="28" fillId="0" borderId="7" xfId="0" applyNumberFormat="1" applyFont="1" applyFill="1" applyBorder="1" applyAlignment="1">
      <alignment horizontal="left" vertical="center" wrapText="1"/>
    </xf>
    <xf numFmtId="166" fontId="29" fillId="0" borderId="7" xfId="0" applyNumberFormat="1" applyFont="1" applyFill="1" applyBorder="1" applyAlignment="1">
      <alignment horizontal="center" vertical="center" wrapText="1"/>
    </xf>
    <xf numFmtId="170" fontId="29" fillId="0" borderId="7" xfId="0" applyNumberFormat="1" applyFont="1" applyFill="1" applyBorder="1" applyAlignment="1">
      <alignment vertical="center" wrapText="1"/>
    </xf>
    <xf numFmtId="167" fontId="29" fillId="0" borderId="7" xfId="31" applyNumberFormat="1" applyFont="1" applyFill="1" applyBorder="1" applyAlignment="1" applyProtection="1">
      <alignment horizontal="center" vertical="center" wrapText="1"/>
    </xf>
    <xf numFmtId="2" fontId="29" fillId="0" borderId="7" xfId="0" applyNumberFormat="1" applyFont="1" applyFill="1" applyBorder="1" applyAlignment="1">
      <alignment horizontal="left" vertical="center" wrapText="1"/>
    </xf>
    <xf numFmtId="166" fontId="28" fillId="0" borderId="7" xfId="0" applyNumberFormat="1" applyFont="1" applyFill="1" applyBorder="1" applyAlignment="1">
      <alignment horizontal="center" vertical="center" wrapText="1"/>
    </xf>
    <xf numFmtId="170" fontId="28" fillId="0" borderId="7" xfId="0" applyNumberFormat="1" applyFont="1" applyFill="1" applyBorder="1" applyAlignment="1">
      <alignment vertical="center" wrapText="1"/>
    </xf>
    <xf numFmtId="167" fontId="28" fillId="0" borderId="7" xfId="31" applyNumberFormat="1" applyFont="1" applyFill="1" applyBorder="1" applyAlignment="1" applyProtection="1">
      <alignment horizontal="center" vertical="center" wrapText="1"/>
    </xf>
    <xf numFmtId="0" fontId="29" fillId="0" borderId="7" xfId="39" applyFont="1" applyFill="1" applyBorder="1" applyAlignment="1">
      <alignment horizontal="center" vertical="center" wrapText="1"/>
    </xf>
    <xf numFmtId="0" fontId="29" fillId="0" borderId="7" xfId="39" applyFont="1" applyBorder="1" applyAlignment="1">
      <alignment horizontal="left" vertical="center" wrapText="1"/>
    </xf>
    <xf numFmtId="167" fontId="29" fillId="0" borderId="7" xfId="39" applyNumberFormat="1" applyFont="1" applyFill="1" applyBorder="1" applyAlignment="1">
      <alignment horizontal="right" vertical="center" wrapText="1"/>
    </xf>
    <xf numFmtId="0" fontId="58" fillId="0" borderId="0" xfId="39" applyFont="1" applyAlignment="1">
      <alignment horizontal="center" vertical="center"/>
    </xf>
    <xf numFmtId="0" fontId="0" fillId="0" borderId="0" xfId="0" applyFont="1" applyAlignment="1">
      <alignment horizontal="center" vertical="center"/>
    </xf>
    <xf numFmtId="170" fontId="29" fillId="0" borderId="7" xfId="39" applyNumberFormat="1" applyFont="1" applyFill="1" applyBorder="1" applyAlignment="1">
      <alignment horizontal="center" vertical="center" wrapText="1"/>
    </xf>
    <xf numFmtId="0" fontId="59" fillId="0" borderId="0" xfId="39" applyFont="1" applyAlignment="1">
      <alignment horizontal="center" vertical="center"/>
    </xf>
    <xf numFmtId="2" fontId="29" fillId="4" borderId="8" xfId="0" applyNumberFormat="1" applyFont="1" applyFill="1" applyBorder="1" applyAlignment="1">
      <alignment horizontal="center"/>
    </xf>
    <xf numFmtId="0" fontId="29" fillId="4" borderId="6" xfId="0" applyFont="1" applyFill="1" applyBorder="1" applyAlignment="1">
      <alignment horizontal="center"/>
    </xf>
    <xf numFmtId="0" fontId="29" fillId="4" borderId="6" xfId="0" applyFont="1" applyFill="1" applyBorder="1" applyAlignment="1">
      <alignment wrapText="1"/>
    </xf>
    <xf numFmtId="0" fontId="29" fillId="0" borderId="6" xfId="39" applyFont="1" applyBorder="1" applyAlignment="1">
      <alignment horizontal="left" vertical="center" wrapText="1"/>
    </xf>
    <xf numFmtId="0" fontId="29" fillId="4" borderId="5" xfId="0" applyFont="1" applyFill="1" applyBorder="1" applyAlignment="1">
      <alignment vertical="center"/>
    </xf>
    <xf numFmtId="165" fontId="29" fillId="4" borderId="5" xfId="0" applyNumberFormat="1" applyFont="1" applyFill="1" applyBorder="1" applyAlignment="1">
      <alignment vertical="center"/>
    </xf>
    <xf numFmtId="4" fontId="29" fillId="4" borderId="5" xfId="0" applyNumberFormat="1" applyFont="1" applyFill="1" applyBorder="1" applyAlignment="1">
      <alignment horizontal="center" vertical="center"/>
    </xf>
    <xf numFmtId="165" fontId="29" fillId="4" borderId="5" xfId="0" applyNumberFormat="1" applyFont="1" applyFill="1" applyBorder="1" applyAlignment="1">
      <alignment horizontal="center" vertical="center"/>
    </xf>
    <xf numFmtId="167" fontId="29" fillId="4" borderId="5" xfId="0" applyNumberFormat="1" applyFont="1" applyFill="1" applyBorder="1" applyAlignment="1">
      <alignment horizontal="center" vertical="center"/>
    </xf>
    <xf numFmtId="4" fontId="29" fillId="4" borderId="8" xfId="0" applyNumberFormat="1" applyFont="1" applyFill="1" applyBorder="1" applyAlignment="1">
      <alignment horizontal="center" vertical="center"/>
    </xf>
    <xf numFmtId="165" fontId="29" fillId="4" borderId="8" xfId="0" applyNumberFormat="1" applyFont="1" applyFill="1" applyBorder="1" applyAlignment="1">
      <alignment vertical="center"/>
    </xf>
    <xf numFmtId="0" fontId="29" fillId="4" borderId="8" xfId="0" applyFont="1" applyFill="1" applyBorder="1" applyAlignment="1">
      <alignment vertical="center"/>
    </xf>
    <xf numFmtId="0" fontId="29" fillId="4" borderId="5" xfId="0" applyFont="1" applyFill="1" applyBorder="1" applyAlignment="1">
      <alignment horizontal="center" vertical="center"/>
    </xf>
    <xf numFmtId="0" fontId="29" fillId="4" borderId="8" xfId="0" applyFont="1" applyFill="1" applyBorder="1" applyAlignment="1">
      <alignment horizontal="center" vertical="center"/>
    </xf>
    <xf numFmtId="165" fontId="29" fillId="4" borderId="8" xfId="0" applyNumberFormat="1" applyFont="1" applyFill="1" applyBorder="1" applyAlignment="1">
      <alignment horizontal="center" vertical="center"/>
    </xf>
    <xf numFmtId="0" fontId="29" fillId="4" borderId="6" xfId="0" applyFont="1" applyFill="1" applyBorder="1" applyAlignment="1">
      <alignment horizontal="center" vertical="center"/>
    </xf>
    <xf numFmtId="165" fontId="29" fillId="4" borderId="6" xfId="0" applyNumberFormat="1" applyFont="1" applyFill="1" applyBorder="1" applyAlignment="1">
      <alignment horizontal="center" vertical="center"/>
    </xf>
    <xf numFmtId="3" fontId="29" fillId="0" borderId="8" xfId="13" quotePrefix="1" applyNumberFormat="1" applyFont="1" applyFill="1" applyBorder="1" applyAlignment="1">
      <alignment horizontal="center" vertical="center"/>
    </xf>
    <xf numFmtId="0" fontId="0" fillId="0" borderId="8" xfId="0" applyFont="1" applyBorder="1" applyAlignment="1">
      <alignment vertical="center"/>
    </xf>
    <xf numFmtId="0" fontId="30" fillId="0" borderId="8" xfId="0" applyFont="1" applyFill="1" applyBorder="1" applyAlignment="1">
      <alignment vertical="center"/>
    </xf>
    <xf numFmtId="0" fontId="29" fillId="4" borderId="0" xfId="0" applyFont="1" applyFill="1" applyAlignment="1">
      <alignment vertical="center"/>
    </xf>
    <xf numFmtId="165" fontId="29" fillId="4" borderId="0" xfId="0" applyNumberFormat="1" applyFont="1" applyFill="1" applyAlignment="1">
      <alignment vertical="center"/>
    </xf>
    <xf numFmtId="0" fontId="28" fillId="4" borderId="8" xfId="0" applyFont="1" applyFill="1" applyBorder="1" applyAlignment="1">
      <alignment horizontal="center"/>
    </xf>
    <xf numFmtId="0" fontId="28" fillId="4" borderId="8" xfId="0" applyFont="1" applyFill="1" applyBorder="1" applyAlignment="1">
      <alignment horizontal="center" vertical="center"/>
    </xf>
    <xf numFmtId="165" fontId="28" fillId="4" borderId="8" xfId="0" applyNumberFormat="1" applyFont="1" applyFill="1" applyBorder="1" applyAlignment="1">
      <alignment horizontal="center" vertical="center"/>
    </xf>
    <xf numFmtId="165" fontId="28" fillId="4" borderId="8" xfId="0" applyNumberFormat="1" applyFont="1" applyFill="1" applyBorder="1" applyAlignment="1">
      <alignment horizontal="center" vertical="center" wrapText="1"/>
    </xf>
    <xf numFmtId="167" fontId="28" fillId="4" borderId="8" xfId="0" applyNumberFormat="1" applyFont="1" applyFill="1" applyBorder="1" applyAlignment="1">
      <alignment horizontal="center" vertical="center" wrapText="1"/>
    </xf>
    <xf numFmtId="44" fontId="28" fillId="4" borderId="5" xfId="38" applyFont="1" applyFill="1" applyBorder="1" applyAlignment="1">
      <alignment horizontal="center" vertical="center" wrapText="1"/>
    </xf>
    <xf numFmtId="44" fontId="29" fillId="4" borderId="5" xfId="38" applyFont="1" applyFill="1" applyBorder="1" applyAlignment="1">
      <alignment horizontal="center" vertical="center"/>
    </xf>
    <xf numFmtId="44" fontId="29" fillId="4" borderId="5" xfId="38" applyFont="1" applyFill="1" applyBorder="1" applyAlignment="1">
      <alignment vertical="center"/>
    </xf>
    <xf numFmtId="44" fontId="29" fillId="4" borderId="8" xfId="38" applyFont="1" applyFill="1" applyBorder="1" applyAlignment="1">
      <alignment vertical="center"/>
    </xf>
    <xf numFmtId="44" fontId="29" fillId="4" borderId="8" xfId="38" applyFont="1" applyFill="1" applyBorder="1" applyAlignment="1">
      <alignment horizontal="center" vertical="center"/>
    </xf>
    <xf numFmtId="44" fontId="29" fillId="0" borderId="7" xfId="38" applyFont="1" applyFill="1" applyBorder="1" applyAlignment="1" applyProtection="1">
      <alignment horizontal="center" vertical="center" wrapText="1"/>
    </xf>
    <xf numFmtId="44" fontId="28" fillId="0" borderId="7" xfId="38" applyFont="1" applyFill="1" applyBorder="1" applyAlignment="1" applyProtection="1">
      <alignment horizontal="center" vertical="center" wrapText="1"/>
    </xf>
    <xf numFmtId="44" fontId="29" fillId="0" borderId="7" xfId="38" applyFont="1" applyFill="1" applyBorder="1" applyAlignment="1">
      <alignment horizontal="right" vertical="center" wrapText="1"/>
    </xf>
    <xf numFmtId="44" fontId="28" fillId="4" borderId="8" xfId="38" applyFont="1" applyFill="1" applyBorder="1" applyAlignment="1">
      <alignment horizontal="center" vertical="center"/>
    </xf>
    <xf numFmtId="44" fontId="28" fillId="4" borderId="8" xfId="38" applyFont="1" applyFill="1" applyBorder="1" applyAlignment="1">
      <alignment horizontal="center" vertical="center" wrapText="1"/>
    </xf>
    <xf numFmtId="44" fontId="29" fillId="4" borderId="6" xfId="38" applyFont="1" applyFill="1" applyBorder="1" applyAlignment="1">
      <alignment horizontal="center" vertical="center"/>
    </xf>
    <xf numFmtId="44" fontId="29" fillId="0" borderId="6" xfId="38" applyFont="1" applyFill="1" applyBorder="1" applyAlignment="1">
      <alignment horizontal="right" vertical="center" wrapText="1"/>
    </xf>
    <xf numFmtId="44" fontId="0" fillId="0" borderId="8" xfId="38" applyFont="1" applyBorder="1" applyAlignment="1">
      <alignment vertical="center"/>
    </xf>
    <xf numFmtId="44" fontId="0" fillId="0" borderId="8" xfId="38" applyFont="1" applyBorder="1" applyAlignment="1">
      <alignment horizontal="center" vertical="center"/>
    </xf>
    <xf numFmtId="44" fontId="28" fillId="0" borderId="8" xfId="38" applyFont="1" applyFill="1" applyBorder="1" applyAlignment="1">
      <alignment horizontal="right" vertical="center"/>
    </xf>
    <xf numFmtId="44" fontId="29" fillId="4" borderId="0" xfId="38" applyFont="1" applyFill="1" applyAlignment="1">
      <alignment vertical="center"/>
    </xf>
    <xf numFmtId="0" fontId="28" fillId="0" borderId="6" xfId="39" applyFont="1" applyBorder="1" applyAlignment="1">
      <alignment horizontal="left" vertical="center" wrapText="1"/>
    </xf>
    <xf numFmtId="3" fontId="28" fillId="0" borderId="8" xfId="13" quotePrefix="1" applyNumberFormat="1" applyFont="1" applyFill="1" applyBorder="1" applyAlignment="1">
      <alignment horizontal="center" vertical="center"/>
    </xf>
    <xf numFmtId="44" fontId="28" fillId="0" borderId="6" xfId="38" applyFont="1" applyFill="1" applyBorder="1" applyAlignment="1">
      <alignment horizontal="right" vertical="center" wrapText="1"/>
    </xf>
    <xf numFmtId="0" fontId="35" fillId="0" borderId="0" xfId="0" applyFont="1" applyFill="1" applyBorder="1"/>
    <xf numFmtId="44" fontId="22" fillId="2" borderId="5" xfId="38" applyFont="1" applyFill="1" applyBorder="1" applyAlignment="1">
      <alignment vertical="center" wrapText="1"/>
    </xf>
    <xf numFmtId="44" fontId="24" fillId="0" borderId="5" xfId="38" applyFont="1" applyFill="1" applyBorder="1" applyAlignment="1">
      <alignment vertical="center"/>
    </xf>
    <xf numFmtId="44" fontId="14" fillId="0" borderId="5" xfId="38" applyFont="1" applyFill="1" applyBorder="1" applyAlignment="1">
      <alignment wrapText="1"/>
    </xf>
    <xf numFmtId="44" fontId="13" fillId="0" borderId="5" xfId="38" applyFont="1" applyFill="1" applyBorder="1" applyAlignment="1">
      <alignment horizontal="right"/>
    </xf>
    <xf numFmtId="44" fontId="28" fillId="0" borderId="8" xfId="38" applyFont="1" applyBorder="1" applyAlignment="1">
      <alignment horizontal="center" vertical="center"/>
    </xf>
    <xf numFmtId="44" fontId="24" fillId="0" borderId="8" xfId="38" applyFont="1" applyFill="1" applyBorder="1" applyAlignment="1"/>
    <xf numFmtId="44" fontId="22" fillId="0" borderId="8" xfId="38" applyFont="1" applyFill="1" applyBorder="1" applyAlignment="1"/>
    <xf numFmtId="44" fontId="22" fillId="4" borderId="8" xfId="38" applyFont="1" applyFill="1" applyBorder="1" applyAlignment="1">
      <alignment vertical="center" wrapText="1"/>
    </xf>
    <xf numFmtId="44" fontId="0" fillId="0" borderId="0" xfId="38" applyFont="1"/>
    <xf numFmtId="0" fontId="35" fillId="4" borderId="0" xfId="0" applyFont="1" applyFill="1"/>
    <xf numFmtId="0" fontId="29" fillId="0" borderId="0" xfId="0" applyFont="1"/>
    <xf numFmtId="0" fontId="29" fillId="0" borderId="3" xfId="0" applyFont="1" applyBorder="1" applyAlignment="1">
      <alignment horizontal="center"/>
    </xf>
    <xf numFmtId="0" fontId="36" fillId="0" borderId="0" xfId="0" applyFont="1"/>
    <xf numFmtId="0" fontId="29" fillId="0" borderId="3" xfId="0" applyFont="1" applyBorder="1" applyAlignment="1">
      <alignment horizontal="left" indent="1"/>
    </xf>
    <xf numFmtId="0" fontId="30" fillId="0" borderId="11" xfId="19" applyFont="1" applyFill="1" applyBorder="1" applyAlignment="1">
      <alignment horizontal="left" wrapText="1"/>
    </xf>
    <xf numFmtId="4" fontId="29" fillId="0" borderId="11" xfId="19" applyNumberFormat="1" applyFont="1" applyFill="1" applyBorder="1" applyAlignment="1">
      <alignment horizontal="center"/>
    </xf>
    <xf numFmtId="3" fontId="29" fillId="0" borderId="11" xfId="19" applyNumberFormat="1" applyFont="1" applyFill="1" applyBorder="1" applyAlignment="1">
      <alignment horizontal="center"/>
    </xf>
    <xf numFmtId="0" fontId="29" fillId="0" borderId="11" xfId="19" applyFont="1" applyFill="1" applyBorder="1" applyAlignment="1">
      <alignment horizontal="left" wrapText="1"/>
    </xf>
    <xf numFmtId="165" fontId="29" fillId="0" borderId="11" xfId="19" applyNumberFormat="1" applyFont="1" applyFill="1" applyBorder="1" applyAlignment="1">
      <alignment horizontal="center"/>
    </xf>
    <xf numFmtId="0" fontId="41" fillId="4" borderId="17" xfId="19" applyFont="1" applyFill="1" applyBorder="1" applyAlignment="1">
      <alignment wrapText="1"/>
    </xf>
    <xf numFmtId="0" fontId="42" fillId="4" borderId="17" xfId="19" applyFont="1" applyFill="1" applyBorder="1" applyAlignment="1">
      <alignment wrapText="1"/>
    </xf>
    <xf numFmtId="0" fontId="20" fillId="4" borderId="11" xfId="19" applyFont="1" applyFill="1" applyBorder="1" applyAlignment="1">
      <alignment horizontal="right" vertical="center"/>
    </xf>
    <xf numFmtId="0" fontId="20" fillId="4" borderId="11" xfId="19" applyFont="1" applyFill="1" applyBorder="1" applyAlignment="1">
      <alignment horizontal="center" vertical="center" wrapText="1"/>
    </xf>
    <xf numFmtId="0" fontId="20" fillId="4" borderId="11" xfId="19" applyFont="1" applyFill="1" applyBorder="1" applyAlignment="1">
      <alignment horizontal="center" vertical="center"/>
    </xf>
    <xf numFmtId="3" fontId="28" fillId="4" borderId="11" xfId="34" applyNumberFormat="1" applyFont="1" applyFill="1" applyBorder="1" applyAlignment="1">
      <alignment horizontal="center" vertical="center" wrapText="1"/>
    </xf>
    <xf numFmtId="165" fontId="28" fillId="4" borderId="11" xfId="34" applyNumberFormat="1" applyFont="1" applyFill="1" applyBorder="1" applyAlignment="1">
      <alignment horizontal="center" vertical="center" wrapText="1"/>
    </xf>
    <xf numFmtId="0" fontId="20" fillId="4" borderId="0" xfId="19" applyFont="1" applyFill="1" applyBorder="1" applyAlignment="1">
      <alignment horizontal="right" vertical="center"/>
    </xf>
    <xf numFmtId="0" fontId="20" fillId="4" borderId="0" xfId="19" applyFont="1" applyFill="1" applyBorder="1" applyAlignment="1">
      <alignment horizontal="center" vertical="center" wrapText="1"/>
    </xf>
    <xf numFmtId="0" fontId="20" fillId="4" borderId="0" xfId="19" applyFont="1" applyFill="1" applyBorder="1" applyAlignment="1">
      <alignment horizontal="center" vertical="center"/>
    </xf>
    <xf numFmtId="3" fontId="28" fillId="4" borderId="0" xfId="34" applyNumberFormat="1" applyFont="1" applyFill="1" applyBorder="1" applyAlignment="1">
      <alignment horizontal="center" vertical="center" wrapText="1"/>
    </xf>
    <xf numFmtId="165" fontId="28" fillId="4" borderId="0" xfId="34" applyNumberFormat="1" applyFont="1" applyFill="1" applyBorder="1" applyAlignment="1">
      <alignment horizontal="center" vertical="center" wrapText="1"/>
    </xf>
    <xf numFmtId="0" fontId="42" fillId="4" borderId="17" xfId="19" applyFont="1" applyFill="1" applyBorder="1" applyAlignment="1">
      <alignment vertical="center" wrapText="1"/>
    </xf>
    <xf numFmtId="0" fontId="21" fillId="4" borderId="19" xfId="19" applyFont="1" applyFill="1" applyBorder="1" applyAlignment="1">
      <alignment horizontal="right" vertical="center"/>
    </xf>
    <xf numFmtId="0" fontId="47" fillId="4" borderId="18" xfId="19" applyFont="1" applyFill="1" applyBorder="1" applyAlignment="1">
      <alignment horizontal="left" wrapText="1"/>
    </xf>
    <xf numFmtId="3" fontId="47" fillId="4" borderId="18" xfId="19" applyNumberFormat="1" applyFont="1" applyFill="1" applyBorder="1" applyAlignment="1">
      <alignment horizontal="center"/>
    </xf>
    <xf numFmtId="165" fontId="47" fillId="4" borderId="18" xfId="19" applyNumberFormat="1" applyFont="1" applyFill="1" applyBorder="1" applyAlignment="1">
      <alignment horizontal="center"/>
    </xf>
    <xf numFmtId="4" fontId="47" fillId="4" borderId="18" xfId="19" applyNumberFormat="1" applyFont="1" applyFill="1" applyBorder="1" applyAlignment="1">
      <alignment horizontal="center"/>
    </xf>
    <xf numFmtId="0" fontId="48" fillId="4" borderId="18" xfId="27" applyFont="1" applyFill="1" applyBorder="1" applyAlignment="1">
      <alignment horizontal="right" vertical="center"/>
    </xf>
    <xf numFmtId="4" fontId="49" fillId="4" borderId="18" xfId="19" applyNumberFormat="1" applyFont="1" applyFill="1" applyBorder="1" applyAlignment="1">
      <alignment horizontal="left" wrapText="1"/>
    </xf>
    <xf numFmtId="4" fontId="48" fillId="4" borderId="18" xfId="19" applyNumberFormat="1" applyFont="1" applyFill="1" applyBorder="1" applyAlignment="1">
      <alignment horizontal="center"/>
    </xf>
    <xf numFmtId="165" fontId="48" fillId="4" borderId="18" xfId="19" applyNumberFormat="1" applyFont="1" applyFill="1" applyBorder="1" applyAlignment="1">
      <alignment horizontal="center"/>
    </xf>
    <xf numFmtId="3" fontId="48" fillId="4" borderId="18" xfId="19" applyNumberFormat="1" applyFont="1" applyFill="1" applyBorder="1" applyAlignment="1">
      <alignment horizontal="center"/>
    </xf>
    <xf numFmtId="3" fontId="48" fillId="4" borderId="18" xfId="19" applyNumberFormat="1" applyFont="1" applyFill="1" applyBorder="1" applyAlignment="1">
      <alignment horizontal="left" wrapText="1"/>
    </xf>
    <xf numFmtId="3" fontId="47" fillId="4" borderId="18" xfId="19" applyNumberFormat="1" applyFont="1" applyFill="1" applyBorder="1" applyAlignment="1">
      <alignment horizontal="left" wrapText="1"/>
    </xf>
    <xf numFmtId="4" fontId="47" fillId="4" borderId="18" xfId="19" applyNumberFormat="1" applyFont="1" applyFill="1" applyBorder="1" applyAlignment="1">
      <alignment horizontal="left" wrapText="1"/>
    </xf>
    <xf numFmtId="0" fontId="41" fillId="4" borderId="0" xfId="19" applyFont="1" applyFill="1" applyAlignment="1">
      <alignment vertical="center" wrapText="1"/>
    </xf>
    <xf numFmtId="4" fontId="48" fillId="4" borderId="18" xfId="19" applyNumberFormat="1" applyFont="1" applyFill="1" applyBorder="1" applyAlignment="1">
      <alignment horizontal="left" wrapText="1"/>
    </xf>
    <xf numFmtId="0" fontId="48" fillId="4" borderId="18" xfId="19" applyFont="1" applyFill="1" applyBorder="1" applyAlignment="1">
      <alignment horizontal="center"/>
    </xf>
    <xf numFmtId="0" fontId="48" fillId="4" borderId="18" xfId="19" applyFont="1" applyFill="1" applyBorder="1" applyAlignment="1">
      <alignment horizontal="left" wrapText="1"/>
    </xf>
    <xf numFmtId="0" fontId="49" fillId="4" borderId="18" xfId="19" applyFont="1" applyFill="1" applyBorder="1" applyAlignment="1">
      <alignment horizontal="left" wrapText="1"/>
    </xf>
    <xf numFmtId="0" fontId="46" fillId="4" borderId="18" xfId="19" applyFont="1" applyFill="1" applyBorder="1" applyAlignment="1">
      <alignment horizontal="left" wrapText="1"/>
    </xf>
    <xf numFmtId="0" fontId="46" fillId="4" borderId="18" xfId="19" applyFont="1" applyFill="1" applyBorder="1" applyAlignment="1">
      <alignment horizontal="center"/>
    </xf>
    <xf numFmtId="165" fontId="46" fillId="4" borderId="18" xfId="19" applyNumberFormat="1" applyFont="1" applyFill="1" applyBorder="1" applyAlignment="1">
      <alignment horizontal="center"/>
    </xf>
    <xf numFmtId="4" fontId="46" fillId="4" borderId="18" xfId="19" applyNumberFormat="1" applyFont="1" applyFill="1" applyBorder="1" applyAlignment="1">
      <alignment horizontal="center"/>
    </xf>
    <xf numFmtId="0" fontId="29" fillId="4" borderId="18" xfId="19" applyFont="1" applyFill="1" applyBorder="1"/>
    <xf numFmtId="0" fontId="28" fillId="4" borderId="18" xfId="19" applyFont="1" applyFill="1" applyBorder="1"/>
    <xf numFmtId="0" fontId="29" fillId="0" borderId="11" xfId="19" applyFont="1" applyFill="1" applyBorder="1" applyAlignment="1">
      <alignment horizontal="right" vertical="center"/>
    </xf>
    <xf numFmtId="0" fontId="41" fillId="4" borderId="17" xfId="19" applyFont="1" applyFill="1" applyBorder="1" applyAlignment="1">
      <alignment horizontal="right" vertical="center" wrapText="1"/>
    </xf>
    <xf numFmtId="0" fontId="46" fillId="4" borderId="18" xfId="19" applyFont="1" applyFill="1" applyBorder="1" applyAlignment="1">
      <alignment horizontal="right" vertical="center"/>
    </xf>
    <xf numFmtId="0" fontId="48" fillId="4" borderId="18" xfId="19" applyFont="1" applyFill="1" applyBorder="1" applyAlignment="1">
      <alignment horizontal="right" vertical="center"/>
    </xf>
    <xf numFmtId="0" fontId="29" fillId="4" borderId="18" xfId="19" applyFont="1" applyFill="1" applyBorder="1" applyAlignment="1">
      <alignment horizontal="right" vertical="center"/>
    </xf>
    <xf numFmtId="0" fontId="28" fillId="4" borderId="18" xfId="19" applyFont="1" applyFill="1" applyBorder="1" applyAlignment="1">
      <alignment horizontal="right" vertical="center"/>
    </xf>
    <xf numFmtId="4" fontId="46" fillId="4" borderId="18" xfId="19" applyNumberFormat="1" applyFont="1" applyFill="1" applyBorder="1" applyAlignment="1">
      <alignment horizontal="left" vertical="center" wrapText="1"/>
    </xf>
    <xf numFmtId="4" fontId="29" fillId="4" borderId="18" xfId="19" applyNumberFormat="1" applyFont="1" applyFill="1" applyBorder="1" applyAlignment="1">
      <alignment wrapText="1"/>
    </xf>
    <xf numFmtId="0" fontId="20" fillId="0" borderId="13" xfId="19" applyFont="1" applyFill="1" applyBorder="1" applyAlignment="1">
      <alignment horizontal="right" vertical="center"/>
    </xf>
    <xf numFmtId="0" fontId="20" fillId="0" borderId="14" xfId="19" applyFont="1" applyFill="1" applyBorder="1" applyAlignment="1">
      <alignment wrapText="1"/>
    </xf>
    <xf numFmtId="0" fontId="10" fillId="0" borderId="14" xfId="19" applyFont="1" applyFill="1" applyBorder="1" applyAlignment="1">
      <alignment horizontal="center"/>
    </xf>
    <xf numFmtId="0" fontId="10" fillId="0" borderId="13" xfId="19" applyFont="1" applyFill="1" applyBorder="1" applyAlignment="1">
      <alignment horizontal="right" vertical="center"/>
    </xf>
    <xf numFmtId="0" fontId="10" fillId="0" borderId="14" xfId="19" applyFont="1" applyFill="1" applyBorder="1" applyAlignment="1">
      <alignment wrapText="1"/>
    </xf>
    <xf numFmtId="0" fontId="20" fillId="0" borderId="13" xfId="19" quotePrefix="1" applyFont="1" applyFill="1" applyBorder="1" applyAlignment="1">
      <alignment horizontal="right" vertical="center"/>
    </xf>
    <xf numFmtId="0" fontId="61" fillId="0" borderId="14" xfId="19" applyFont="1" applyFill="1" applyBorder="1" applyAlignment="1">
      <alignment wrapText="1"/>
    </xf>
    <xf numFmtId="14" fontId="10" fillId="0" borderId="13" xfId="19" applyNumberFormat="1" applyFont="1" applyFill="1" applyBorder="1" applyAlignment="1">
      <alignment horizontal="right" vertical="center"/>
    </xf>
    <xf numFmtId="0" fontId="62" fillId="0" borderId="14" xfId="19" applyFont="1" applyFill="1" applyBorder="1" applyAlignment="1">
      <alignment wrapText="1"/>
    </xf>
    <xf numFmtId="0" fontId="20" fillId="0" borderId="14" xfId="19" applyFont="1" applyFill="1" applyBorder="1" applyAlignment="1">
      <alignment horizontal="center"/>
    </xf>
    <xf numFmtId="0" fontId="29" fillId="0" borderId="13" xfId="19" applyFont="1" applyFill="1" applyBorder="1" applyAlignment="1">
      <alignment horizontal="right" vertical="center"/>
    </xf>
    <xf numFmtId="0" fontId="29" fillId="0" borderId="14" xfId="19" applyFont="1" applyFill="1" applyBorder="1" applyAlignment="1">
      <alignment wrapText="1"/>
    </xf>
    <xf numFmtId="0" fontId="29" fillId="0" borderId="14" xfId="19" applyFont="1" applyFill="1" applyBorder="1" applyAlignment="1">
      <alignment horizontal="center"/>
    </xf>
    <xf numFmtId="0" fontId="29" fillId="0" borderId="14" xfId="19" applyFont="1" applyFill="1" applyBorder="1" applyAlignment="1">
      <alignment horizontal="right"/>
    </xf>
    <xf numFmtId="0" fontId="32" fillId="0" borderId="13" xfId="19" applyFont="1" applyFill="1" applyBorder="1" applyAlignment="1">
      <alignment horizontal="right" vertical="center"/>
    </xf>
    <xf numFmtId="0" fontId="32" fillId="0" borderId="14" xfId="19" applyFont="1" applyFill="1" applyBorder="1" applyAlignment="1">
      <alignment wrapText="1"/>
    </xf>
    <xf numFmtId="0" fontId="32" fillId="0" borderId="14" xfId="19" applyFont="1" applyFill="1" applyBorder="1" applyAlignment="1">
      <alignment horizontal="center"/>
    </xf>
    <xf numFmtId="0" fontId="32" fillId="0" borderId="14" xfId="19" applyFont="1" applyFill="1" applyBorder="1" applyAlignment="1">
      <alignment horizontal="right"/>
    </xf>
    <xf numFmtId="0" fontId="29" fillId="0" borderId="13" xfId="19" quotePrefix="1" applyFont="1" applyFill="1" applyBorder="1" applyAlignment="1">
      <alignment horizontal="right" vertical="center"/>
    </xf>
    <xf numFmtId="0" fontId="10" fillId="0" borderId="16" xfId="19" applyFont="1" applyFill="1" applyBorder="1" applyAlignment="1">
      <alignment horizontal="right" vertical="center"/>
    </xf>
    <xf numFmtId="0" fontId="29" fillId="0" borderId="16" xfId="19" applyFont="1" applyFill="1" applyBorder="1" applyAlignment="1">
      <alignment horizontal="right" vertical="center"/>
    </xf>
    <xf numFmtId="0" fontId="29" fillId="0" borderId="14" xfId="19" applyFont="1" applyFill="1" applyBorder="1" applyAlignment="1">
      <alignment horizontal="left" wrapText="1"/>
    </xf>
    <xf numFmtId="3" fontId="29" fillId="0" borderId="14" xfId="19" applyNumberFormat="1" applyFont="1" applyFill="1" applyBorder="1" applyAlignment="1">
      <alignment horizontal="center"/>
    </xf>
    <xf numFmtId="165" fontId="29" fillId="0" borderId="14" xfId="19" applyNumberFormat="1" applyFont="1" applyFill="1" applyBorder="1" applyAlignment="1">
      <alignment horizontal="center"/>
    </xf>
    <xf numFmtId="0" fontId="29" fillId="0" borderId="0" xfId="19" quotePrefix="1" applyFont="1" applyFill="1" applyBorder="1" applyAlignment="1">
      <alignment horizontal="right" vertical="center"/>
    </xf>
    <xf numFmtId="0" fontId="29" fillId="0" borderId="0" xfId="19" applyFont="1" applyFill="1" applyBorder="1" applyAlignment="1">
      <alignment wrapText="1"/>
    </xf>
    <xf numFmtId="0" fontId="29" fillId="0" borderId="0" xfId="19" applyFont="1" applyFill="1" applyBorder="1" applyAlignment="1">
      <alignment horizontal="center"/>
    </xf>
    <xf numFmtId="0" fontId="29" fillId="0" borderId="0" xfId="19" applyFont="1" applyFill="1" applyBorder="1" applyAlignment="1">
      <alignment horizontal="right"/>
    </xf>
    <xf numFmtId="0" fontId="29" fillId="4" borderId="18" xfId="19" applyFont="1" applyFill="1" applyBorder="1"/>
    <xf numFmtId="0" fontId="28" fillId="4" borderId="18" xfId="19" applyFont="1" applyFill="1" applyBorder="1"/>
    <xf numFmtId="0" fontId="29" fillId="4" borderId="18" xfId="19" applyFont="1" applyFill="1" applyBorder="1" applyAlignment="1">
      <alignment horizontal="right" vertical="center"/>
    </xf>
    <xf numFmtId="0" fontId="28" fillId="4" borderId="18" xfId="19" applyFont="1" applyFill="1" applyBorder="1" applyAlignment="1">
      <alignment horizontal="right" vertical="center"/>
    </xf>
    <xf numFmtId="4" fontId="29" fillId="4" borderId="18" xfId="19" applyNumberFormat="1" applyFont="1" applyFill="1" applyBorder="1" applyAlignment="1">
      <alignment wrapText="1"/>
    </xf>
    <xf numFmtId="0" fontId="42" fillId="4" borderId="0" xfId="0" applyFont="1" applyFill="1" applyAlignment="1"/>
    <xf numFmtId="0" fontId="42" fillId="0" borderId="0" xfId="0" applyFont="1" applyFill="1" applyAlignment="1"/>
    <xf numFmtId="0" fontId="4" fillId="0" borderId="0" xfId="0" applyFont="1" applyAlignment="1">
      <alignment wrapText="1"/>
    </xf>
    <xf numFmtId="0" fontId="4" fillId="4" borderId="0" xfId="0" applyFont="1" applyFill="1"/>
    <xf numFmtId="0" fontId="4" fillId="0" borderId="0" xfId="0" applyFont="1"/>
    <xf numFmtId="0" fontId="20" fillId="4" borderId="0" xfId="0" applyFont="1" applyFill="1"/>
    <xf numFmtId="0" fontId="20" fillId="0" borderId="0" xfId="0" applyFont="1"/>
    <xf numFmtId="0" fontId="4" fillId="0" borderId="0" xfId="0" applyFont="1" applyAlignment="1">
      <alignment vertical="center"/>
    </xf>
    <xf numFmtId="0" fontId="4" fillId="0" borderId="0" xfId="0" applyFont="1" applyAlignment="1"/>
    <xf numFmtId="0" fontId="29" fillId="0" borderId="0" xfId="0" applyFont="1" applyAlignment="1"/>
    <xf numFmtId="0" fontId="23" fillId="4" borderId="20" xfId="0" applyFont="1" applyFill="1" applyBorder="1" applyAlignment="1"/>
    <xf numFmtId="0" fontId="20" fillId="0" borderId="18" xfId="0" applyFont="1" applyFill="1" applyBorder="1" applyAlignment="1">
      <alignment horizontal="right" vertical="center"/>
    </xf>
    <xf numFmtId="0" fontId="20" fillId="0" borderId="18" xfId="0" applyFont="1" applyFill="1" applyBorder="1" applyAlignment="1">
      <alignment horizontal="center" vertical="center" wrapText="1"/>
    </xf>
    <xf numFmtId="0" fontId="20" fillId="0" borderId="18" xfId="0" applyFont="1" applyFill="1" applyBorder="1" applyAlignment="1">
      <alignment vertical="center"/>
    </xf>
    <xf numFmtId="3" fontId="28" fillId="0" borderId="18" xfId="34" applyNumberFormat="1" applyFont="1" applyFill="1" applyBorder="1" applyAlignment="1">
      <alignment vertical="center" wrapText="1"/>
    </xf>
    <xf numFmtId="165" fontId="28" fillId="0" borderId="18" xfId="34" applyNumberFormat="1" applyFont="1" applyFill="1" applyBorder="1" applyAlignment="1">
      <alignment vertical="center" wrapText="1"/>
    </xf>
    <xf numFmtId="0" fontId="7" fillId="0" borderId="18" xfId="0" applyFont="1" applyFill="1" applyBorder="1" applyAlignment="1">
      <alignment horizontal="right" vertical="center"/>
    </xf>
    <xf numFmtId="0" fontId="30" fillId="0" borderId="18" xfId="0" applyFont="1" applyFill="1" applyBorder="1" applyAlignment="1">
      <alignment horizontal="left" wrapText="1"/>
    </xf>
    <xf numFmtId="0" fontId="30" fillId="0" borderId="18" xfId="0" applyFont="1" applyFill="1" applyBorder="1" applyAlignment="1">
      <alignment vertical="center"/>
    </xf>
    <xf numFmtId="3" fontId="29" fillId="0" borderId="18" xfId="0" applyNumberFormat="1" applyFont="1" applyFill="1" applyBorder="1" applyAlignment="1">
      <alignment vertical="center"/>
    </xf>
    <xf numFmtId="165" fontId="29" fillId="0" borderId="18" xfId="0" applyNumberFormat="1" applyFont="1" applyFill="1" applyBorder="1" applyAlignment="1"/>
    <xf numFmtId="0" fontId="30" fillId="0" borderId="18" xfId="0" applyFont="1" applyFill="1" applyBorder="1" applyAlignment="1">
      <alignment horizontal="left" vertical="center" wrapText="1"/>
    </xf>
    <xf numFmtId="0" fontId="29" fillId="0" borderId="18" xfId="0" applyFont="1" applyFill="1" applyBorder="1" applyAlignment="1">
      <alignment horizontal="right" vertical="center"/>
    </xf>
    <xf numFmtId="4" fontId="29" fillId="0" borderId="18" xfId="0" applyNumberFormat="1" applyFont="1" applyFill="1" applyBorder="1" applyAlignment="1"/>
    <xf numFmtId="3" fontId="29" fillId="0" borderId="18" xfId="0" applyNumberFormat="1" applyFont="1" applyFill="1" applyBorder="1" applyAlignment="1"/>
    <xf numFmtId="0" fontId="28" fillId="0" borderId="18" xfId="0" applyFont="1" applyFill="1" applyBorder="1" applyAlignment="1">
      <alignment horizontal="left" wrapText="1"/>
    </xf>
    <xf numFmtId="0" fontId="29" fillId="0" borderId="18" xfId="0" applyFont="1" applyFill="1" applyBorder="1" applyAlignment="1">
      <alignment horizontal="left" wrapText="1"/>
    </xf>
    <xf numFmtId="0" fontId="6" fillId="0" borderId="18" xfId="0" applyFont="1" applyFill="1" applyBorder="1" applyAlignment="1">
      <alignment horizontal="right" vertical="center"/>
    </xf>
    <xf numFmtId="0" fontId="31" fillId="0" borderId="18" xfId="0" applyFont="1" applyFill="1" applyBorder="1" applyAlignment="1">
      <alignment horizontal="left" wrapText="1"/>
    </xf>
    <xf numFmtId="3" fontId="7" fillId="0" borderId="18" xfId="0" applyNumberFormat="1" applyFont="1" applyFill="1" applyBorder="1" applyAlignment="1"/>
    <xf numFmtId="2" fontId="29" fillId="0" borderId="18" xfId="0" applyNumberFormat="1" applyFont="1" applyFill="1" applyBorder="1" applyAlignment="1">
      <alignment horizontal="right" vertical="center"/>
    </xf>
    <xf numFmtId="0" fontId="28" fillId="0" borderId="18" xfId="0" applyFont="1" applyFill="1" applyBorder="1" applyAlignment="1">
      <alignment horizontal="right" vertical="center"/>
    </xf>
    <xf numFmtId="3" fontId="28" fillId="0" borderId="18" xfId="0" applyNumberFormat="1" applyFont="1" applyFill="1" applyBorder="1" applyAlignment="1"/>
    <xf numFmtId="165" fontId="28" fillId="0" borderId="18" xfId="0" applyNumberFormat="1" applyFont="1" applyFill="1" applyBorder="1" applyAlignment="1"/>
    <xf numFmtId="0" fontId="21" fillId="4" borderId="18" xfId="0" applyFont="1" applyFill="1" applyBorder="1" applyAlignment="1">
      <alignment horizontal="right" vertical="center"/>
    </xf>
    <xf numFmtId="0" fontId="21" fillId="4" borderId="18" xfId="0" applyFont="1" applyFill="1" applyBorder="1" applyAlignment="1">
      <alignment horizontal="center" vertical="center" wrapText="1"/>
    </xf>
    <xf numFmtId="0" fontId="21" fillId="4" borderId="18" xfId="0" applyFont="1" applyFill="1" applyBorder="1" applyAlignment="1">
      <alignment vertical="center"/>
    </xf>
    <xf numFmtId="3" fontId="22" fillId="4" borderId="18" xfId="34" applyNumberFormat="1" applyFont="1" applyFill="1" applyBorder="1" applyAlignment="1">
      <alignment vertical="center" wrapText="1"/>
    </xf>
    <xf numFmtId="165" fontId="22" fillId="4" borderId="18" xfId="34" applyNumberFormat="1" applyFont="1" applyFill="1" applyBorder="1" applyAlignment="1">
      <alignment vertical="center" wrapText="1"/>
    </xf>
    <xf numFmtId="0" fontId="22" fillId="4" borderId="18" xfId="0" applyFont="1" applyFill="1" applyBorder="1" applyAlignment="1">
      <alignment horizontal="right" vertical="center"/>
    </xf>
    <xf numFmtId="0" fontId="22" fillId="4" borderId="18" xfId="0" applyFont="1" applyFill="1" applyBorder="1" applyAlignment="1">
      <alignment horizontal="left" wrapText="1"/>
    </xf>
    <xf numFmtId="4" fontId="22" fillId="4" borderId="18" xfId="0" applyNumberFormat="1" applyFont="1" applyFill="1" applyBorder="1" applyAlignment="1"/>
    <xf numFmtId="3" fontId="22" fillId="4" borderId="18" xfId="0" applyNumberFormat="1" applyFont="1" applyFill="1" applyBorder="1" applyAlignment="1"/>
    <xf numFmtId="165" fontId="22" fillId="4" borderId="18" xfId="0" applyNumberFormat="1" applyFont="1" applyFill="1" applyBorder="1" applyAlignment="1"/>
    <xf numFmtId="0" fontId="24" fillId="4" borderId="18" xfId="0" applyFont="1" applyFill="1" applyBorder="1" applyAlignment="1">
      <alignment horizontal="right" vertical="center"/>
    </xf>
    <xf numFmtId="0" fontId="25" fillId="4" borderId="18" xfId="0" applyFont="1" applyFill="1" applyBorder="1" applyAlignment="1">
      <alignment horizontal="left" wrapText="1"/>
    </xf>
    <xf numFmtId="4" fontId="24" fillId="4" borderId="18" xfId="0" applyNumberFormat="1" applyFont="1" applyFill="1" applyBorder="1" applyAlignment="1"/>
    <xf numFmtId="3" fontId="24" fillId="4" borderId="18" xfId="0" applyNumberFormat="1" applyFont="1" applyFill="1" applyBorder="1" applyAlignment="1"/>
    <xf numFmtId="165" fontId="24" fillId="4" borderId="18" xfId="0" applyNumberFormat="1" applyFont="1" applyFill="1" applyBorder="1" applyAlignment="1"/>
    <xf numFmtId="0" fontId="24" fillId="4" borderId="18" xfId="0" applyFont="1" applyFill="1" applyBorder="1" applyAlignment="1">
      <alignment horizontal="left" wrapText="1"/>
    </xf>
    <xf numFmtId="0" fontId="28" fillId="4" borderId="18" xfId="0" applyFont="1" applyFill="1" applyBorder="1" applyAlignment="1">
      <alignment horizontal="right" vertical="center"/>
    </xf>
    <xf numFmtId="0" fontId="30" fillId="4" borderId="18" xfId="0" applyFont="1" applyFill="1" applyBorder="1" applyAlignment="1">
      <alignment horizontal="left" wrapText="1"/>
    </xf>
    <xf numFmtId="4" fontId="29" fillId="4" borderId="18" xfId="0" applyNumberFormat="1" applyFont="1" applyFill="1" applyBorder="1" applyAlignment="1"/>
    <xf numFmtId="3" fontId="29" fillId="4" borderId="18" xfId="0" applyNumberFormat="1" applyFont="1" applyFill="1" applyBorder="1" applyAlignment="1"/>
    <xf numFmtId="165" fontId="29" fillId="4" borderId="18" xfId="0" applyNumberFormat="1" applyFont="1" applyFill="1" applyBorder="1" applyAlignment="1"/>
    <xf numFmtId="0" fontId="40" fillId="4" borderId="18" xfId="0" applyNumberFormat="1" applyFont="1" applyFill="1" applyBorder="1" applyAlignment="1">
      <alignment horizontal="right" vertical="center" wrapText="1"/>
    </xf>
    <xf numFmtId="0" fontId="40" fillId="4" borderId="18" xfId="0" applyFont="1" applyFill="1" applyBorder="1" applyAlignment="1">
      <alignment vertical="top" wrapText="1"/>
    </xf>
    <xf numFmtId="1" fontId="41" fillId="4" borderId="18" xfId="0" applyNumberFormat="1" applyFont="1" applyFill="1" applyBorder="1" applyAlignment="1">
      <alignment vertical="top" wrapText="1"/>
    </xf>
    <xf numFmtId="0" fontId="40" fillId="4" borderId="18" xfId="0" applyFont="1" applyFill="1" applyBorder="1" applyAlignment="1">
      <alignment wrapText="1"/>
    </xf>
    <xf numFmtId="0" fontId="41" fillId="4" borderId="18" xfId="0" applyNumberFormat="1" applyFont="1" applyFill="1" applyBorder="1" applyAlignment="1">
      <alignment horizontal="right" vertical="center" wrapText="1"/>
    </xf>
    <xf numFmtId="0" fontId="41" fillId="4" borderId="18" xfId="0" applyNumberFormat="1" applyFont="1" applyFill="1" applyBorder="1" applyAlignment="1">
      <alignment vertical="top" wrapText="1"/>
    </xf>
    <xf numFmtId="0" fontId="40" fillId="4" borderId="18" xfId="0" applyNumberFormat="1" applyFont="1" applyFill="1" applyBorder="1" applyAlignment="1">
      <alignment vertical="top" wrapText="1"/>
    </xf>
    <xf numFmtId="1" fontId="40" fillId="4" borderId="18" xfId="0" applyNumberFormat="1" applyFont="1" applyFill="1" applyBorder="1" applyAlignment="1">
      <alignment vertical="top" wrapText="1"/>
    </xf>
    <xf numFmtId="0" fontId="41" fillId="4" borderId="18" xfId="0" applyFont="1" applyFill="1" applyBorder="1" applyAlignment="1">
      <alignment wrapText="1"/>
    </xf>
    <xf numFmtId="0" fontId="42" fillId="4" borderId="18" xfId="0" applyFont="1" applyFill="1" applyBorder="1" applyAlignment="1">
      <alignment wrapText="1"/>
    </xf>
    <xf numFmtId="0" fontId="41" fillId="4" borderId="18" xfId="0" applyFont="1" applyFill="1" applyBorder="1" applyAlignment="1">
      <alignment horizontal="right" vertical="center" wrapText="1"/>
    </xf>
    <xf numFmtId="0" fontId="20" fillId="4" borderId="18" xfId="0" applyFont="1" applyFill="1" applyBorder="1" applyAlignment="1">
      <alignment horizontal="right" vertical="center"/>
    </xf>
    <xf numFmtId="0" fontId="20" fillId="4" borderId="18" xfId="0" applyFont="1" applyFill="1" applyBorder="1" applyAlignment="1">
      <alignment horizontal="center" vertical="center" wrapText="1"/>
    </xf>
    <xf numFmtId="0" fontId="20" fillId="4" borderId="18" xfId="0" applyFont="1" applyFill="1" applyBorder="1" applyAlignment="1">
      <alignment vertical="center"/>
    </xf>
    <xf numFmtId="3" fontId="28" fillId="4" borderId="18" xfId="34" applyNumberFormat="1" applyFont="1" applyFill="1" applyBorder="1" applyAlignment="1">
      <alignment vertical="center" wrapText="1"/>
    </xf>
    <xf numFmtId="165" fontId="28" fillId="4" borderId="18" xfId="34" applyNumberFormat="1" applyFont="1" applyFill="1" applyBorder="1" applyAlignment="1">
      <alignment vertical="center" wrapText="1"/>
    </xf>
    <xf numFmtId="1" fontId="40" fillId="4" borderId="18" xfId="0" applyNumberFormat="1" applyFont="1" applyFill="1" applyBorder="1" applyAlignment="1">
      <alignment horizontal="right" vertical="center" wrapText="1"/>
    </xf>
    <xf numFmtId="0" fontId="41" fillId="4" borderId="18" xfId="0" applyFont="1" applyFill="1" applyBorder="1" applyAlignment="1"/>
    <xf numFmtId="0" fontId="48" fillId="4" borderId="18" xfId="0" applyFont="1" applyFill="1" applyBorder="1" applyAlignment="1">
      <alignment wrapText="1"/>
    </xf>
    <xf numFmtId="0" fontId="48" fillId="4" borderId="18" xfId="0" applyFont="1" applyFill="1" applyBorder="1" applyAlignment="1"/>
    <xf numFmtId="0" fontId="41" fillId="4" borderId="18" xfId="0" applyFont="1" applyFill="1" applyBorder="1" applyAlignment="1">
      <alignment horizontal="right" vertical="center"/>
    </xf>
    <xf numFmtId="0" fontId="43" fillId="4" borderId="18" xfId="0" applyFont="1" applyFill="1" applyBorder="1" applyAlignment="1">
      <alignment horizontal="right" vertical="center"/>
    </xf>
    <xf numFmtId="0" fontId="44" fillId="4" borderId="18" xfId="0" applyFont="1" applyFill="1" applyBorder="1" applyAlignment="1">
      <alignment vertical="center" wrapText="1"/>
    </xf>
    <xf numFmtId="0" fontId="43" fillId="4" borderId="18" xfId="0" applyFont="1" applyFill="1" applyBorder="1" applyAlignment="1">
      <alignment vertical="center"/>
    </xf>
    <xf numFmtId="0" fontId="43" fillId="4" borderId="18" xfId="0" applyFont="1" applyFill="1" applyBorder="1" applyAlignment="1">
      <alignment vertical="center" wrapText="1"/>
    </xf>
    <xf numFmtId="3" fontId="43" fillId="4" borderId="18" xfId="0" applyNumberFormat="1" applyFont="1" applyFill="1" applyBorder="1" applyAlignment="1">
      <alignment vertical="center"/>
    </xf>
    <xf numFmtId="0" fontId="42" fillId="4" borderId="18" xfId="0" applyFont="1" applyFill="1" applyBorder="1" applyAlignment="1">
      <alignment horizontal="right" vertical="center"/>
    </xf>
    <xf numFmtId="0" fontId="42" fillId="4" borderId="18" xfId="0" applyFont="1" applyFill="1" applyBorder="1" applyAlignment="1">
      <alignment vertical="center" wrapText="1"/>
    </xf>
    <xf numFmtId="0" fontId="42" fillId="4" borderId="18" xfId="0" applyFont="1" applyFill="1" applyBorder="1" applyAlignment="1">
      <alignment vertical="center"/>
    </xf>
    <xf numFmtId="4" fontId="47" fillId="4" borderId="18" xfId="0" applyNumberFormat="1" applyFont="1" applyFill="1" applyBorder="1" applyAlignment="1">
      <alignment horizontal="left" wrapText="1"/>
    </xf>
    <xf numFmtId="4" fontId="48" fillId="4" borderId="18" xfId="0" applyNumberFormat="1" applyFont="1" applyFill="1" applyBorder="1" applyAlignment="1"/>
    <xf numFmtId="165" fontId="48" fillId="4" borderId="18" xfId="0" applyNumberFormat="1" applyFont="1" applyFill="1" applyBorder="1" applyAlignment="1"/>
    <xf numFmtId="0" fontId="46" fillId="4" borderId="18" xfId="0" applyFont="1" applyFill="1" applyBorder="1" applyAlignment="1">
      <alignment horizontal="right" vertical="center"/>
    </xf>
    <xf numFmtId="4" fontId="49" fillId="4" borderId="18" xfId="0" applyNumberFormat="1" applyFont="1" applyFill="1" applyBorder="1" applyAlignment="1">
      <alignment horizontal="left" wrapText="1"/>
    </xf>
    <xf numFmtId="3" fontId="47" fillId="4" borderId="18" xfId="0" applyNumberFormat="1" applyFont="1" applyFill="1" applyBorder="1" applyAlignment="1"/>
    <xf numFmtId="165" fontId="47" fillId="4" borderId="18" xfId="0" applyNumberFormat="1" applyFont="1" applyFill="1" applyBorder="1" applyAlignment="1"/>
    <xf numFmtId="4" fontId="47" fillId="4" borderId="18" xfId="0" applyNumberFormat="1" applyFont="1" applyFill="1" applyBorder="1" applyAlignment="1"/>
    <xf numFmtId="4" fontId="46" fillId="4" borderId="18" xfId="0" applyNumberFormat="1" applyFont="1" applyFill="1" applyBorder="1" applyAlignment="1">
      <alignment horizontal="left" vertical="center" wrapText="1"/>
    </xf>
    <xf numFmtId="3" fontId="48" fillId="4" borderId="18" xfId="0" applyNumberFormat="1" applyFont="1" applyFill="1" applyBorder="1" applyAlignment="1"/>
    <xf numFmtId="3" fontId="48" fillId="4" borderId="18" xfId="0" applyNumberFormat="1" applyFont="1" applyFill="1" applyBorder="1" applyAlignment="1">
      <alignment horizontal="left" wrapText="1"/>
    </xf>
    <xf numFmtId="3" fontId="47" fillId="4" borderId="18" xfId="0" applyNumberFormat="1" applyFont="1" applyFill="1" applyBorder="1" applyAlignment="1">
      <alignment horizontal="left" wrapText="1"/>
    </xf>
    <xf numFmtId="4" fontId="48" fillId="4" borderId="18" xfId="0" applyNumberFormat="1" applyFont="1" applyFill="1" applyBorder="1" applyAlignment="1">
      <alignment horizontal="left" wrapText="1"/>
    </xf>
    <xf numFmtId="0" fontId="48" fillId="4" borderId="18" xfId="0" applyFont="1" applyFill="1" applyBorder="1" applyAlignment="1">
      <alignment horizontal="right" vertical="center"/>
    </xf>
    <xf numFmtId="0" fontId="47" fillId="4" borderId="18" xfId="0" applyFont="1" applyFill="1" applyBorder="1" applyAlignment="1">
      <alignment horizontal="left" wrapText="1"/>
    </xf>
    <xf numFmtId="0" fontId="46" fillId="4" borderId="18" xfId="0" applyFont="1" applyFill="1" applyBorder="1" applyAlignment="1">
      <alignment horizontal="left" wrapText="1"/>
    </xf>
    <xf numFmtId="0" fontId="46" fillId="4" borderId="18" xfId="0" applyFont="1" applyFill="1" applyBorder="1" applyAlignment="1"/>
    <xf numFmtId="165" fontId="46" fillId="4" borderId="18" xfId="0" applyNumberFormat="1" applyFont="1" applyFill="1" applyBorder="1" applyAlignment="1"/>
    <xf numFmtId="4" fontId="46" fillId="4" borderId="18" xfId="0" applyNumberFormat="1" applyFont="1" applyFill="1" applyBorder="1" applyAlignment="1"/>
    <xf numFmtId="0" fontId="21" fillId="4" borderId="18" xfId="0" applyFont="1" applyFill="1" applyBorder="1" applyAlignment="1">
      <alignment horizontal="right" vertical="center" wrapText="1"/>
    </xf>
    <xf numFmtId="4" fontId="48" fillId="4" borderId="18" xfId="0" applyNumberFormat="1" applyFont="1" applyFill="1" applyBorder="1" applyAlignment="1">
      <alignment wrapText="1"/>
    </xf>
    <xf numFmtId="165" fontId="48" fillId="4" borderId="18" xfId="0" applyNumberFormat="1" applyFont="1" applyFill="1" applyBorder="1" applyAlignment="1">
      <alignment wrapText="1"/>
    </xf>
    <xf numFmtId="0" fontId="23" fillId="4" borderId="18" xfId="0" applyFont="1" applyFill="1" applyBorder="1" applyAlignment="1">
      <alignment horizontal="right" vertical="center" wrapText="1"/>
    </xf>
    <xf numFmtId="4" fontId="43" fillId="4" borderId="18" xfId="0" applyNumberFormat="1" applyFont="1" applyFill="1" applyBorder="1" applyAlignment="1">
      <alignment horizontal="left" wrapText="1"/>
    </xf>
    <xf numFmtId="4" fontId="43" fillId="4" borderId="18" xfId="0" applyNumberFormat="1" applyFont="1" applyFill="1" applyBorder="1" applyAlignment="1">
      <alignment wrapText="1"/>
    </xf>
    <xf numFmtId="165" fontId="43" fillId="4" borderId="18" xfId="0" applyNumberFormat="1" applyFont="1" applyFill="1" applyBorder="1" applyAlignment="1">
      <alignment wrapText="1"/>
    </xf>
    <xf numFmtId="0" fontId="43" fillId="4" borderId="18" xfId="0" applyFont="1" applyFill="1" applyBorder="1" applyAlignment="1">
      <alignment horizontal="right" vertical="center" wrapText="1"/>
    </xf>
    <xf numFmtId="0" fontId="43" fillId="4" borderId="18" xfId="0" applyFont="1" applyFill="1" applyBorder="1" applyAlignment="1">
      <alignment horizontal="left" wrapText="1"/>
    </xf>
    <xf numFmtId="0" fontId="43" fillId="4" borderId="18" xfId="0" applyFont="1" applyFill="1" applyBorder="1" applyAlignment="1">
      <alignment wrapText="1"/>
    </xf>
    <xf numFmtId="0" fontId="4" fillId="4" borderId="18" xfId="0" applyFont="1" applyFill="1" applyBorder="1" applyAlignment="1">
      <alignment horizontal="right" vertical="center" wrapText="1"/>
    </xf>
    <xf numFmtId="0" fontId="4" fillId="4" borderId="18" xfId="0" applyFont="1" applyFill="1" applyBorder="1" applyAlignment="1">
      <alignment horizontal="left" wrapText="1"/>
    </xf>
    <xf numFmtId="4" fontId="4" fillId="4" borderId="18" xfId="0" applyNumberFormat="1" applyFont="1" applyFill="1" applyBorder="1" applyAlignment="1">
      <alignment wrapText="1"/>
    </xf>
    <xf numFmtId="3" fontId="4" fillId="4" borderId="18" xfId="0" applyNumberFormat="1" applyFont="1" applyFill="1" applyBorder="1" applyAlignment="1">
      <alignment wrapText="1"/>
    </xf>
    <xf numFmtId="165" fontId="4" fillId="4" borderId="18" xfId="0" applyNumberFormat="1" applyFont="1" applyFill="1" applyBorder="1" applyAlignment="1">
      <alignment wrapText="1"/>
    </xf>
    <xf numFmtId="0" fontId="4" fillId="4" borderId="18" xfId="0" applyFont="1" applyFill="1" applyBorder="1" applyAlignment="1">
      <alignment wrapText="1"/>
    </xf>
    <xf numFmtId="0" fontId="42" fillId="4" borderId="18" xfId="0" applyFont="1" applyFill="1" applyBorder="1" applyAlignment="1">
      <alignment horizontal="left" wrapText="1"/>
    </xf>
    <xf numFmtId="0" fontId="42" fillId="4" borderId="18" xfId="0" applyFont="1" applyFill="1" applyBorder="1" applyAlignment="1"/>
    <xf numFmtId="165" fontId="42" fillId="4" borderId="18" xfId="0" applyNumberFormat="1" applyFont="1" applyFill="1" applyBorder="1" applyAlignment="1"/>
    <xf numFmtId="4" fontId="42" fillId="4" borderId="18" xfId="0" applyNumberFormat="1" applyFont="1" applyFill="1" applyBorder="1" applyAlignment="1"/>
    <xf numFmtId="3" fontId="21" fillId="4" borderId="18" xfId="34" applyNumberFormat="1" applyFont="1" applyFill="1" applyBorder="1" applyAlignment="1">
      <alignment vertical="center" wrapText="1"/>
    </xf>
    <xf numFmtId="165" fontId="21" fillId="4" borderId="18" xfId="34" applyNumberFormat="1" applyFont="1" applyFill="1" applyBorder="1" applyAlignment="1">
      <alignment vertical="center" wrapText="1"/>
    </xf>
    <xf numFmtId="0" fontId="4" fillId="0" borderId="18" xfId="0" applyFont="1" applyBorder="1" applyAlignment="1">
      <alignment vertical="center" wrapText="1"/>
    </xf>
    <xf numFmtId="0" fontId="4" fillId="0" borderId="18" xfId="0" applyFont="1" applyBorder="1" applyAlignment="1">
      <alignment wrapText="1"/>
    </xf>
    <xf numFmtId="0" fontId="4" fillId="4" borderId="18" xfId="0" applyFont="1" applyFill="1" applyBorder="1" applyAlignment="1">
      <alignment horizontal="right" vertical="center"/>
    </xf>
    <xf numFmtId="0" fontId="4" fillId="4" borderId="18" xfId="0" applyFont="1" applyFill="1" applyBorder="1" applyAlignment="1"/>
    <xf numFmtId="0" fontId="20" fillId="4" borderId="18" xfId="0" applyFont="1" applyFill="1" applyBorder="1" applyAlignment="1">
      <alignment wrapText="1"/>
    </xf>
    <xf numFmtId="0" fontId="20" fillId="4" borderId="18" xfId="0" applyFont="1" applyFill="1" applyBorder="1" applyAlignment="1"/>
    <xf numFmtId="0" fontId="29" fillId="4" borderId="18" xfId="0" applyFont="1" applyFill="1" applyBorder="1" applyAlignment="1">
      <alignment horizontal="right" vertical="center" wrapText="1"/>
    </xf>
    <xf numFmtId="0" fontId="0" fillId="0" borderId="18" xfId="0" applyFont="1" applyFill="1" applyBorder="1"/>
    <xf numFmtId="0" fontId="28" fillId="4" borderId="18" xfId="0" applyFont="1" applyFill="1" applyBorder="1" applyAlignment="1">
      <alignment horizontal="right" vertical="center" wrapText="1"/>
    </xf>
    <xf numFmtId="0" fontId="30" fillId="4" borderId="18" xfId="0" applyFont="1" applyFill="1" applyBorder="1" applyAlignment="1">
      <alignment horizontal="center" vertical="center"/>
    </xf>
    <xf numFmtId="3" fontId="28" fillId="4" borderId="18" xfId="0" applyNumberFormat="1" applyFont="1" applyFill="1" applyBorder="1" applyAlignment="1">
      <alignment horizontal="center" vertical="center"/>
    </xf>
    <xf numFmtId="165" fontId="28" fillId="4" borderId="18" xfId="0" applyNumberFormat="1" applyFont="1" applyFill="1" applyBorder="1" applyAlignment="1"/>
    <xf numFmtId="44" fontId="28" fillId="4" borderId="18" xfId="38" applyFont="1" applyFill="1" applyBorder="1" applyAlignment="1"/>
    <xf numFmtId="0" fontId="20" fillId="0" borderId="18" xfId="0" applyFont="1" applyFill="1" applyBorder="1"/>
    <xf numFmtId="0" fontId="0" fillId="0" borderId="18" xfId="0" applyFont="1" applyBorder="1"/>
    <xf numFmtId="0" fontId="31" fillId="4" borderId="18" xfId="0" applyFont="1" applyFill="1" applyBorder="1" applyAlignment="1">
      <alignment horizontal="left" wrapText="1"/>
    </xf>
    <xf numFmtId="0" fontId="31" fillId="4" borderId="18" xfId="0" applyFont="1" applyFill="1" applyBorder="1" applyAlignment="1">
      <alignment horizontal="center" vertical="center"/>
    </xf>
    <xf numFmtId="3" fontId="29" fillId="4" borderId="18" xfId="0" applyNumberFormat="1" applyFont="1" applyFill="1" applyBorder="1" applyAlignment="1">
      <alignment horizontal="center" vertical="center"/>
    </xf>
    <xf numFmtId="44" fontId="29" fillId="4" borderId="18" xfId="38" applyFont="1" applyFill="1" applyBorder="1" applyAlignment="1"/>
    <xf numFmtId="172" fontId="29" fillId="4" borderId="18" xfId="0" applyNumberFormat="1" applyFont="1" applyFill="1" applyBorder="1" applyAlignment="1">
      <alignment wrapText="1"/>
    </xf>
    <xf numFmtId="0" fontId="29" fillId="4" borderId="18" xfId="0" applyFont="1" applyFill="1" applyBorder="1"/>
    <xf numFmtId="44" fontId="29" fillId="4" borderId="18" xfId="38" applyFont="1" applyFill="1" applyBorder="1"/>
    <xf numFmtId="171" fontId="29" fillId="4" borderId="18" xfId="0" applyNumberFormat="1" applyFont="1" applyFill="1" applyBorder="1" applyAlignment="1">
      <alignment wrapText="1"/>
    </xf>
    <xf numFmtId="0" fontId="29" fillId="4" borderId="18" xfId="0" applyFont="1" applyFill="1" applyBorder="1" applyAlignment="1">
      <alignment wrapText="1"/>
    </xf>
    <xf numFmtId="2" fontId="28" fillId="0" borderId="18" xfId="0" applyNumberFormat="1" applyFont="1" applyFill="1" applyBorder="1" applyAlignment="1">
      <alignment horizontal="center"/>
    </xf>
    <xf numFmtId="0" fontId="28" fillId="0" borderId="18" xfId="0" applyFont="1" applyFill="1" applyBorder="1" applyAlignment="1">
      <alignment horizontal="left" vertical="center"/>
    </xf>
    <xf numFmtId="1" fontId="28" fillId="0" borderId="18" xfId="0" applyNumberFormat="1" applyFont="1" applyFill="1" applyBorder="1" applyAlignment="1">
      <alignment horizontal="center" vertical="center"/>
    </xf>
    <xf numFmtId="0" fontId="28" fillId="0" borderId="18" xfId="0" applyFont="1" applyFill="1" applyBorder="1" applyAlignment="1">
      <alignment horizontal="center" vertical="center"/>
    </xf>
    <xf numFmtId="172" fontId="28" fillId="4" borderId="18" xfId="0" applyNumberFormat="1" applyFont="1" applyFill="1" applyBorder="1" applyAlignment="1">
      <alignment wrapText="1"/>
    </xf>
    <xf numFmtId="167" fontId="29" fillId="4" borderId="18" xfId="0" applyNumberFormat="1" applyFont="1" applyFill="1" applyBorder="1" applyAlignment="1">
      <alignment wrapText="1"/>
    </xf>
    <xf numFmtId="0" fontId="29" fillId="0" borderId="18" xfId="0" applyFont="1" applyBorder="1" applyAlignment="1">
      <alignment vertical="center"/>
    </xf>
    <xf numFmtId="0" fontId="29" fillId="0" borderId="18" xfId="0" applyFont="1" applyBorder="1"/>
    <xf numFmtId="171" fontId="4" fillId="4" borderId="18" xfId="0" applyNumberFormat="1" applyFont="1" applyFill="1" applyBorder="1" applyAlignment="1">
      <alignment wrapText="1"/>
    </xf>
    <xf numFmtId="0" fontId="4" fillId="0" borderId="18" xfId="0" applyFont="1" applyFill="1" applyBorder="1" applyAlignment="1">
      <alignment horizontal="left" wrapText="1"/>
    </xf>
    <xf numFmtId="0" fontId="4" fillId="4" borderId="18" xfId="0" applyFont="1" applyFill="1" applyBorder="1"/>
    <xf numFmtId="0" fontId="64" fillId="0" borderId="18" xfId="0" applyFont="1" applyBorder="1"/>
    <xf numFmtId="0" fontId="0" fillId="0" borderId="18" xfId="0" applyFont="1" applyFill="1" applyBorder="1" applyAlignment="1">
      <alignment horizontal="center" vertical="center"/>
    </xf>
    <xf numFmtId="0" fontId="29" fillId="0" borderId="18" xfId="16" applyFont="1" applyFill="1" applyBorder="1" applyAlignment="1">
      <alignment horizontal="left" vertical="center" wrapText="1"/>
    </xf>
    <xf numFmtId="3" fontId="0" fillId="0" borderId="18" xfId="0" applyNumberFormat="1" applyFont="1" applyFill="1" applyBorder="1" applyAlignment="1">
      <alignment horizontal="center" vertical="center"/>
    </xf>
    <xf numFmtId="4" fontId="50" fillId="0" borderId="18" xfId="0" applyNumberFormat="1" applyFont="1" applyFill="1" applyBorder="1" applyAlignment="1">
      <alignment horizontal="right" vertical="center"/>
    </xf>
    <xf numFmtId="0" fontId="29" fillId="0" borderId="19" xfId="0" applyFont="1" applyFill="1" applyBorder="1" applyAlignment="1">
      <alignment horizontal="right" vertical="center"/>
    </xf>
    <xf numFmtId="0" fontId="28" fillId="0" borderId="19" xfId="0" applyFont="1" applyFill="1" applyBorder="1" applyAlignment="1">
      <alignment horizontal="left" wrapText="1"/>
    </xf>
    <xf numFmtId="3" fontId="28" fillId="0" borderId="19" xfId="0" applyNumberFormat="1" applyFont="1" applyFill="1" applyBorder="1" applyAlignment="1">
      <alignment horizontal="center"/>
    </xf>
    <xf numFmtId="165" fontId="29" fillId="0" borderId="5" xfId="0" applyNumberFormat="1" applyFont="1" applyFill="1" applyBorder="1" applyAlignment="1">
      <alignment vertical="center"/>
    </xf>
    <xf numFmtId="165" fontId="29" fillId="0" borderId="5" xfId="0" applyNumberFormat="1" applyFont="1" applyFill="1" applyBorder="1" applyAlignment="1">
      <alignment horizontal="center" vertical="center"/>
    </xf>
    <xf numFmtId="165" fontId="29" fillId="0" borderId="8" xfId="0" applyNumberFormat="1" applyFont="1" applyFill="1" applyBorder="1" applyAlignment="1">
      <alignment horizontal="center" vertical="center"/>
    </xf>
    <xf numFmtId="3" fontId="7" fillId="0" borderId="5" xfId="0" applyNumberFormat="1" applyFont="1" applyFill="1" applyBorder="1" applyAlignment="1">
      <alignment vertical="center"/>
    </xf>
    <xf numFmtId="3" fontId="28" fillId="0" borderId="5" xfId="0" applyNumberFormat="1" applyFont="1" applyFill="1" applyBorder="1" applyAlignment="1">
      <alignment horizontal="center" vertical="center"/>
    </xf>
    <xf numFmtId="165" fontId="28" fillId="0" borderId="5" xfId="0" applyNumberFormat="1" applyFont="1" applyFill="1" applyBorder="1" applyAlignment="1">
      <alignment horizontal="center" vertical="center"/>
    </xf>
    <xf numFmtId="3" fontId="28" fillId="0" borderId="19" xfId="0" applyNumberFormat="1" applyFont="1" applyFill="1" applyBorder="1" applyAlignment="1">
      <alignment horizontal="center" vertical="center"/>
    </xf>
    <xf numFmtId="165" fontId="28" fillId="0" borderId="19" xfId="0" applyNumberFormat="1" applyFont="1" applyFill="1" applyBorder="1" applyAlignment="1">
      <alignment horizontal="center" vertical="center"/>
    </xf>
    <xf numFmtId="3" fontId="29" fillId="4" borderId="8" xfId="0" applyNumberFormat="1" applyFont="1" applyFill="1" applyBorder="1" applyAlignment="1">
      <alignment horizontal="center" vertical="center"/>
    </xf>
    <xf numFmtId="1" fontId="41" fillId="4" borderId="9" xfId="0" applyNumberFormat="1" applyFont="1" applyFill="1" applyBorder="1" applyAlignment="1">
      <alignment horizontal="right" vertical="center" wrapText="1"/>
    </xf>
    <xf numFmtId="0" fontId="41" fillId="4" borderId="9" xfId="0" applyNumberFormat="1" applyFont="1" applyFill="1" applyBorder="1" applyAlignment="1">
      <alignment horizontal="center" vertical="center" wrapText="1"/>
    </xf>
    <xf numFmtId="1" fontId="41" fillId="4" borderId="9" xfId="0" applyNumberFormat="1" applyFont="1" applyFill="1" applyBorder="1" applyAlignment="1">
      <alignment horizontal="center" vertical="center" wrapText="1"/>
    </xf>
    <xf numFmtId="1" fontId="40" fillId="4" borderId="9" xfId="0" applyNumberFormat="1" applyFont="1" applyFill="1" applyBorder="1" applyAlignment="1">
      <alignment horizontal="center" vertical="center" wrapText="1"/>
    </xf>
    <xf numFmtId="0" fontId="41" fillId="4" borderId="9" xfId="0" applyFont="1" applyFill="1" applyBorder="1" applyAlignment="1">
      <alignment vertical="center" wrapText="1"/>
    </xf>
    <xf numFmtId="0" fontId="41" fillId="4" borderId="9" xfId="0" applyFont="1" applyFill="1" applyBorder="1" applyAlignment="1">
      <alignment vertical="center"/>
    </xf>
    <xf numFmtId="0" fontId="48" fillId="4" borderId="9" xfId="0" applyFont="1" applyFill="1" applyBorder="1" applyAlignment="1">
      <alignment vertical="center"/>
    </xf>
    <xf numFmtId="165" fontId="48" fillId="4" borderId="11" xfId="0" applyNumberFormat="1" applyFont="1" applyFill="1" applyBorder="1" applyAlignment="1">
      <alignment horizontal="center" vertical="center"/>
    </xf>
    <xf numFmtId="4" fontId="48" fillId="4" borderId="11" xfId="0" applyNumberFormat="1" applyFont="1" applyFill="1" applyBorder="1" applyAlignment="1">
      <alignment horizontal="center" vertical="center"/>
    </xf>
    <xf numFmtId="165" fontId="46" fillId="4" borderId="11" xfId="0" applyNumberFormat="1" applyFont="1" applyFill="1" applyBorder="1" applyAlignment="1">
      <alignment horizontal="center" vertical="center"/>
    </xf>
    <xf numFmtId="4" fontId="46" fillId="4" borderId="11" xfId="0" applyNumberFormat="1" applyFont="1" applyFill="1" applyBorder="1" applyAlignment="1">
      <alignment horizontal="center" vertical="center"/>
    </xf>
    <xf numFmtId="3" fontId="29" fillId="4" borderId="11" xfId="0" applyNumberFormat="1" applyFont="1" applyFill="1" applyBorder="1" applyAlignment="1">
      <alignment horizontal="center" vertical="center"/>
    </xf>
    <xf numFmtId="165" fontId="29" fillId="4" borderId="11" xfId="0" applyNumberFormat="1" applyFont="1" applyFill="1" applyBorder="1" applyAlignment="1">
      <alignment horizontal="center" vertical="center"/>
    </xf>
    <xf numFmtId="0" fontId="39" fillId="4" borderId="8" xfId="0" applyFont="1" applyFill="1" applyBorder="1" applyAlignment="1">
      <alignment vertical="center" wrapText="1"/>
    </xf>
    <xf numFmtId="3" fontId="28" fillId="4" borderId="11" xfId="0" applyNumberFormat="1" applyFont="1" applyFill="1" applyBorder="1" applyAlignment="1">
      <alignment horizontal="center" vertical="center"/>
    </xf>
    <xf numFmtId="165" fontId="28" fillId="4" borderId="11" xfId="0" applyNumberFormat="1" applyFont="1" applyFill="1" applyBorder="1" applyAlignment="1">
      <alignment horizontal="center" vertical="center"/>
    </xf>
    <xf numFmtId="0" fontId="29" fillId="4" borderId="11" xfId="0" applyFont="1" applyFill="1" applyBorder="1" applyAlignment="1">
      <alignment vertical="center"/>
    </xf>
    <xf numFmtId="0" fontId="28" fillId="4" borderId="11" xfId="0" applyFont="1" applyFill="1" applyBorder="1" applyAlignment="1">
      <alignment vertical="center"/>
    </xf>
    <xf numFmtId="0" fontId="3" fillId="0" borderId="5" xfId="0" applyFont="1" applyFill="1" applyBorder="1" applyAlignment="1">
      <alignment horizontal="right" vertical="center"/>
    </xf>
    <xf numFmtId="0" fontId="29" fillId="0" borderId="21" xfId="0" applyFont="1" applyFill="1" applyBorder="1" applyAlignment="1">
      <alignment horizontal="right" vertical="center"/>
    </xf>
    <xf numFmtId="3" fontId="29" fillId="0" borderId="21" xfId="0" applyNumberFormat="1" applyFont="1" applyFill="1" applyBorder="1" applyAlignment="1">
      <alignment horizontal="center"/>
    </xf>
    <xf numFmtId="165" fontId="29" fillId="0" borderId="21" xfId="0" applyNumberFormat="1" applyFont="1" applyFill="1" applyBorder="1" applyAlignment="1">
      <alignment horizontal="center"/>
    </xf>
    <xf numFmtId="0" fontId="29" fillId="0" borderId="22" xfId="0" applyFont="1" applyFill="1" applyBorder="1" applyAlignment="1">
      <alignment horizontal="center"/>
    </xf>
    <xf numFmtId="0" fontId="31" fillId="0" borderId="22" xfId="0" applyFont="1" applyFill="1" applyBorder="1" applyAlignment="1">
      <alignment horizontal="left" wrapText="1"/>
    </xf>
    <xf numFmtId="4" fontId="29" fillId="0" borderId="22" xfId="0" applyNumberFormat="1" applyFont="1" applyFill="1" applyBorder="1" applyAlignment="1">
      <alignment horizontal="center"/>
    </xf>
    <xf numFmtId="165" fontId="29" fillId="0" borderId="22" xfId="0" applyNumberFormat="1" applyFont="1" applyFill="1" applyBorder="1" applyAlignment="1">
      <alignment horizontal="center"/>
    </xf>
    <xf numFmtId="0" fontId="29" fillId="0" borderId="22" xfId="0" applyFont="1" applyFill="1" applyBorder="1" applyAlignment="1">
      <alignment horizontal="left" wrapText="1"/>
    </xf>
    <xf numFmtId="0" fontId="29" fillId="0" borderId="21" xfId="0" applyFont="1" applyFill="1" applyBorder="1" applyAlignment="1">
      <alignment horizontal="left" wrapText="1"/>
    </xf>
    <xf numFmtId="0" fontId="2" fillId="0" borderId="5" xfId="0" applyFont="1" applyFill="1" applyBorder="1" applyAlignment="1">
      <alignment horizontal="right" vertical="center"/>
    </xf>
    <xf numFmtId="3" fontId="2" fillId="0" borderId="5" xfId="0" applyNumberFormat="1" applyFont="1" applyFill="1" applyBorder="1" applyAlignment="1"/>
    <xf numFmtId="3" fontId="2" fillId="0" borderId="5" xfId="0" applyNumberFormat="1" applyFont="1" applyFill="1" applyBorder="1" applyAlignment="1">
      <alignment horizontal="center"/>
    </xf>
    <xf numFmtId="0" fontId="20" fillId="4" borderId="7" xfId="0" applyFont="1" applyFill="1" applyBorder="1" applyAlignment="1">
      <alignment horizontal="right" vertical="center"/>
    </xf>
    <xf numFmtId="0" fontId="20" fillId="4" borderId="7" xfId="0" applyFont="1" applyFill="1" applyBorder="1" applyAlignment="1">
      <alignment horizontal="center" vertical="center" wrapText="1"/>
    </xf>
    <xf numFmtId="0" fontId="20" fillId="4" borderId="7" xfId="0" applyFont="1" applyFill="1" applyBorder="1" applyAlignment="1">
      <alignment horizontal="center" vertical="center"/>
    </xf>
    <xf numFmtId="3" fontId="28" fillId="4" borderId="7" xfId="34" applyNumberFormat="1" applyFont="1" applyFill="1" applyBorder="1" applyAlignment="1">
      <alignment horizontal="center" vertical="center" wrapText="1"/>
    </xf>
    <xf numFmtId="165" fontId="28" fillId="4" borderId="7" xfId="34" applyNumberFormat="1" applyFont="1" applyFill="1" applyBorder="1" applyAlignment="1">
      <alignment horizontal="center" vertical="center" wrapText="1"/>
    </xf>
    <xf numFmtId="0" fontId="2" fillId="4" borderId="8" xfId="0" applyFont="1" applyFill="1" applyBorder="1" applyAlignment="1"/>
    <xf numFmtId="0" fontId="2" fillId="0" borderId="8" xfId="0" applyFont="1" applyFill="1" applyBorder="1" applyAlignment="1"/>
    <xf numFmtId="0" fontId="28" fillId="4" borderId="3" xfId="0" applyFont="1" applyFill="1" applyBorder="1" applyAlignment="1">
      <alignment horizontal="right" vertical="center"/>
    </xf>
    <xf numFmtId="0" fontId="28" fillId="4" borderId="2" xfId="0" applyFont="1" applyFill="1" applyBorder="1" applyAlignment="1">
      <alignment horizontal="left" wrapText="1"/>
    </xf>
    <xf numFmtId="4" fontId="28" fillId="4" borderId="2" xfId="0" applyNumberFormat="1" applyFont="1" applyFill="1" applyBorder="1" applyAlignment="1">
      <alignment horizontal="center"/>
    </xf>
    <xf numFmtId="3" fontId="28" fillId="4" borderId="2" xfId="0" applyNumberFormat="1" applyFont="1" applyFill="1" applyBorder="1" applyAlignment="1">
      <alignment horizontal="center"/>
    </xf>
    <xf numFmtId="165" fontId="28" fillId="4" borderId="2" xfId="0" applyNumberFormat="1" applyFont="1" applyFill="1" applyBorder="1" applyAlignment="1">
      <alignment horizontal="center"/>
    </xf>
    <xf numFmtId="0" fontId="20" fillId="4" borderId="0" xfId="0" applyFont="1" applyFill="1" applyBorder="1" applyAlignment="1"/>
    <xf numFmtId="0" fontId="20" fillId="0" borderId="0" xfId="0" applyFont="1" applyFill="1" applyBorder="1" applyAlignment="1"/>
    <xf numFmtId="0" fontId="29" fillId="4" borderId="3" xfId="0" applyFont="1" applyFill="1" applyBorder="1" applyAlignment="1">
      <alignment horizontal="right" vertical="center"/>
    </xf>
    <xf numFmtId="0" fontId="30" fillId="4" borderId="2" xfId="0" applyFont="1" applyFill="1" applyBorder="1" applyAlignment="1">
      <alignment horizontal="left" wrapText="1"/>
    </xf>
    <xf numFmtId="4" fontId="29" fillId="4" borderId="2" xfId="0" applyNumberFormat="1" applyFont="1" applyFill="1" applyBorder="1" applyAlignment="1">
      <alignment horizontal="center"/>
    </xf>
    <xf numFmtId="3" fontId="29" fillId="4" borderId="2" xfId="0" applyNumberFormat="1" applyFont="1" applyFill="1" applyBorder="1" applyAlignment="1">
      <alignment horizontal="center"/>
    </xf>
    <xf numFmtId="165" fontId="29" fillId="4" borderId="2" xfId="0" applyNumberFormat="1" applyFont="1" applyFill="1" applyBorder="1" applyAlignment="1">
      <alignment horizontal="center"/>
    </xf>
    <xf numFmtId="0" fontId="2" fillId="4" borderId="0" xfId="0" applyFont="1" applyFill="1" applyBorder="1" applyAlignment="1"/>
    <xf numFmtId="0" fontId="2" fillId="0" borderId="0" xfId="0" applyFont="1" applyFill="1" applyBorder="1" applyAlignment="1"/>
    <xf numFmtId="0" fontId="29" fillId="4" borderId="2" xfId="0" applyFont="1" applyFill="1" applyBorder="1" applyAlignment="1">
      <alignment horizontal="left" wrapText="1"/>
    </xf>
    <xf numFmtId="0" fontId="2" fillId="0" borderId="22" xfId="0" applyFont="1" applyFill="1" applyBorder="1" applyAlignment="1">
      <alignment horizontal="center"/>
    </xf>
    <xf numFmtId="0" fontId="61" fillId="0" borderId="22" xfId="0" applyFont="1" applyFill="1" applyBorder="1" applyAlignment="1">
      <alignment horizontal="left" wrapText="1"/>
    </xf>
    <xf numFmtId="4" fontId="2" fillId="0" borderId="22" xfId="0" applyNumberFormat="1" applyFont="1" applyFill="1" applyBorder="1" applyAlignment="1">
      <alignment horizontal="center"/>
    </xf>
    <xf numFmtId="0" fontId="2" fillId="0" borderId="0" xfId="0" applyFont="1" applyFill="1" applyAlignment="1"/>
    <xf numFmtId="0" fontId="28" fillId="0" borderId="22" xfId="0" applyFont="1" applyFill="1" applyBorder="1" applyAlignment="1">
      <alignment horizontal="left" wrapText="1"/>
    </xf>
    <xf numFmtId="4" fontId="28" fillId="0" borderId="22" xfId="0" applyNumberFormat="1" applyFont="1" applyFill="1" applyBorder="1" applyAlignment="1">
      <alignment horizontal="center"/>
    </xf>
    <xf numFmtId="165" fontId="28" fillId="0" borderId="22" xfId="0" applyNumberFormat="1" applyFont="1" applyFill="1" applyBorder="1" applyAlignment="1">
      <alignment horizontal="center"/>
    </xf>
    <xf numFmtId="0" fontId="30" fillId="0" borderId="22" xfId="0" applyFont="1" applyFill="1" applyBorder="1" applyAlignment="1">
      <alignment horizontal="left" wrapText="1"/>
    </xf>
    <xf numFmtId="0" fontId="28" fillId="0" borderId="0" xfId="0" applyFont="1" applyFill="1" applyAlignment="1"/>
    <xf numFmtId="4" fontId="28" fillId="0" borderId="19" xfId="0" applyNumberFormat="1" applyFont="1" applyFill="1" applyBorder="1" applyAlignment="1">
      <alignment horizontal="center"/>
    </xf>
    <xf numFmtId="165" fontId="28" fillId="0" borderId="19" xfId="0" applyNumberFormat="1" applyFont="1" applyFill="1" applyBorder="1" applyAlignment="1">
      <alignment horizontal="center"/>
    </xf>
    <xf numFmtId="0" fontId="31" fillId="0" borderId="22" xfId="27" applyFont="1" applyFill="1" applyBorder="1" applyAlignment="1">
      <alignment horizontal="left" wrapText="1"/>
    </xf>
    <xf numFmtId="1" fontId="58" fillId="4" borderId="9" xfId="0" applyNumberFormat="1" applyFont="1" applyFill="1" applyBorder="1" applyAlignment="1">
      <alignment horizontal="center" vertical="top" wrapText="1"/>
    </xf>
    <xf numFmtId="0" fontId="59" fillId="4" borderId="9" xfId="0" applyNumberFormat="1" applyFont="1" applyFill="1" applyBorder="1" applyAlignment="1">
      <alignment horizontal="right" vertical="center" wrapText="1"/>
    </xf>
    <xf numFmtId="0" fontId="59" fillId="4" borderId="9" xfId="0" applyNumberFormat="1" applyFont="1" applyFill="1" applyBorder="1" applyAlignment="1">
      <alignment vertical="top" wrapText="1"/>
    </xf>
    <xf numFmtId="0" fontId="59" fillId="4" borderId="9" xfId="0" applyNumberFormat="1" applyFont="1" applyFill="1" applyBorder="1" applyAlignment="1">
      <alignment horizontal="center" vertical="top" wrapText="1"/>
    </xf>
    <xf numFmtId="1" fontId="59" fillId="4" borderId="9" xfId="0" applyNumberFormat="1" applyFont="1" applyFill="1" applyBorder="1" applyAlignment="1">
      <alignment horizontal="right" vertical="top" wrapText="1"/>
    </xf>
    <xf numFmtId="0" fontId="59" fillId="4" borderId="0" xfId="0" applyNumberFormat="1" applyFont="1" applyFill="1" applyAlignment="1">
      <alignment vertical="top" wrapText="1"/>
    </xf>
    <xf numFmtId="0" fontId="59" fillId="5" borderId="0" xfId="0" applyNumberFormat="1" applyFont="1" applyFill="1" applyAlignment="1">
      <alignment vertical="top" wrapText="1"/>
    </xf>
    <xf numFmtId="0" fontId="59" fillId="5" borderId="0" xfId="0" applyFont="1" applyFill="1" applyAlignment="1">
      <alignment vertical="top" wrapText="1"/>
    </xf>
    <xf numFmtId="0" fontId="58" fillId="4" borderId="9" xfId="0" applyNumberFormat="1" applyFont="1" applyFill="1" applyBorder="1" applyAlignment="1">
      <alignment horizontal="center" vertical="top" wrapText="1"/>
    </xf>
    <xf numFmtId="1" fontId="58" fillId="4" borderId="9" xfId="0" applyNumberFormat="1" applyFont="1" applyFill="1" applyBorder="1" applyAlignment="1">
      <alignment horizontal="right" vertical="top" wrapText="1"/>
    </xf>
    <xf numFmtId="0" fontId="58" fillId="4" borderId="0" xfId="0" applyNumberFormat="1" applyFont="1" applyFill="1" applyAlignment="1">
      <alignment vertical="top" wrapText="1"/>
    </xf>
    <xf numFmtId="0" fontId="58" fillId="5" borderId="0" xfId="0" applyNumberFormat="1" applyFont="1" applyFill="1" applyAlignment="1">
      <alignment vertical="top" wrapText="1"/>
    </xf>
    <xf numFmtId="0" fontId="58" fillId="5" borderId="0" xfId="0" applyFont="1" applyFill="1" applyAlignment="1">
      <alignment vertical="top" wrapText="1"/>
    </xf>
    <xf numFmtId="0" fontId="58" fillId="4" borderId="9" xfId="0" applyFont="1" applyFill="1" applyBorder="1" applyAlignment="1">
      <alignment horizontal="right" vertical="center" wrapText="1"/>
    </xf>
    <xf numFmtId="0" fontId="59" fillId="4" borderId="9" xfId="0" applyFont="1" applyFill="1" applyBorder="1" applyAlignment="1">
      <alignment wrapText="1"/>
    </xf>
    <xf numFmtId="0" fontId="58" fillId="4" borderId="9" xfId="0" applyFont="1" applyFill="1" applyBorder="1" applyAlignment="1">
      <alignment wrapText="1"/>
    </xf>
    <xf numFmtId="0" fontId="58" fillId="4" borderId="0" xfId="0" applyFont="1" applyFill="1" applyAlignment="1"/>
    <xf numFmtId="0" fontId="58" fillId="5" borderId="0" xfId="0" applyFont="1" applyFill="1" applyAlignment="1"/>
    <xf numFmtId="0" fontId="58" fillId="4" borderId="9" xfId="0" applyNumberFormat="1" applyFont="1" applyFill="1" applyBorder="1" applyAlignment="1">
      <alignment horizontal="right" vertical="center" wrapText="1"/>
    </xf>
    <xf numFmtId="0" fontId="58" fillId="4" borderId="9" xfId="0" applyNumberFormat="1" applyFont="1" applyFill="1" applyBorder="1" applyAlignment="1">
      <alignment vertical="top" wrapText="1"/>
    </xf>
    <xf numFmtId="0" fontId="20" fillId="4" borderId="9" xfId="0" applyFont="1" applyFill="1" applyBorder="1" applyAlignment="1">
      <alignment wrapText="1"/>
    </xf>
    <xf numFmtId="2" fontId="58" fillId="4" borderId="9" xfId="0" applyNumberFormat="1" applyFont="1" applyFill="1" applyBorder="1" applyAlignment="1">
      <alignment horizontal="right" vertical="center" wrapText="1"/>
    </xf>
    <xf numFmtId="0" fontId="20" fillId="4" borderId="9" xfId="0" applyFont="1" applyFill="1" applyBorder="1" applyAlignment="1">
      <alignment horizontal="right" vertical="center" wrapText="1"/>
    </xf>
    <xf numFmtId="1" fontId="59" fillId="4" borderId="9" xfId="0" applyNumberFormat="1" applyFont="1" applyFill="1" applyBorder="1" applyAlignment="1">
      <alignment horizontal="center" vertical="top" wrapText="1"/>
    </xf>
    <xf numFmtId="0" fontId="58" fillId="4" borderId="9" xfId="0" applyFont="1" applyFill="1" applyBorder="1" applyAlignment="1">
      <alignment horizontal="right" vertical="center"/>
    </xf>
    <xf numFmtId="0" fontId="58" fillId="4" borderId="9" xfId="0" applyFont="1" applyFill="1" applyBorder="1" applyAlignment="1"/>
    <xf numFmtId="0" fontId="29" fillId="4" borderId="9" xfId="0" applyFont="1" applyFill="1" applyBorder="1" applyAlignment="1">
      <alignment wrapText="1"/>
    </xf>
    <xf numFmtId="0" fontId="29" fillId="4" borderId="9" xfId="0" applyFont="1" applyFill="1" applyBorder="1" applyAlignment="1"/>
    <xf numFmtId="0" fontId="29" fillId="5" borderId="0" xfId="0" applyFont="1" applyFill="1" applyAlignment="1"/>
    <xf numFmtId="0" fontId="29" fillId="0" borderId="0" xfId="0" applyFont="1" applyFill="1" applyBorder="1" applyAlignment="1">
      <alignment horizontal="center"/>
    </xf>
    <xf numFmtId="0" fontId="28" fillId="0" borderId="0" xfId="0" applyFont="1" applyFill="1" applyBorder="1" applyAlignment="1">
      <alignment horizontal="left" wrapText="1"/>
    </xf>
    <xf numFmtId="4" fontId="28" fillId="0" borderId="0" xfId="0" applyNumberFormat="1" applyFont="1" applyFill="1" applyBorder="1" applyAlignment="1">
      <alignment horizontal="center"/>
    </xf>
    <xf numFmtId="165" fontId="29" fillId="0" borderId="0" xfId="0" applyNumberFormat="1" applyFont="1" applyFill="1" applyBorder="1" applyAlignment="1">
      <alignment horizontal="center"/>
    </xf>
    <xf numFmtId="0" fontId="20" fillId="4" borderId="9" xfId="0" applyFont="1" applyFill="1" applyBorder="1" applyAlignment="1">
      <alignment horizontal="right" vertical="center"/>
    </xf>
    <xf numFmtId="0" fontId="20" fillId="4" borderId="9" xfId="0" applyFont="1" applyFill="1" applyBorder="1" applyAlignment="1">
      <alignment vertical="center" wrapText="1"/>
    </xf>
    <xf numFmtId="0" fontId="20" fillId="4" borderId="9" xfId="0" applyFont="1" applyFill="1" applyBorder="1" applyAlignment="1">
      <alignment horizontal="center" vertical="center"/>
    </xf>
    <xf numFmtId="0" fontId="59" fillId="4" borderId="0" xfId="0" applyFont="1" applyFill="1" applyAlignment="1"/>
    <xf numFmtId="0" fontId="59" fillId="5" borderId="0" xfId="0" applyFont="1" applyFill="1" applyAlignment="1"/>
    <xf numFmtId="0" fontId="20" fillId="4" borderId="10" xfId="0" applyFont="1" applyFill="1" applyBorder="1" applyAlignment="1">
      <alignment horizontal="right" vertical="center"/>
    </xf>
    <xf numFmtId="0" fontId="20" fillId="4" borderId="10" xfId="0" applyFont="1" applyFill="1" applyBorder="1" applyAlignment="1">
      <alignment horizontal="center" vertical="center" wrapText="1"/>
    </xf>
    <xf numFmtId="0" fontId="20" fillId="4" borderId="10" xfId="0" applyFont="1" applyFill="1" applyBorder="1" applyAlignment="1">
      <alignment horizontal="center" vertical="center"/>
    </xf>
    <xf numFmtId="3" fontId="28" fillId="4" borderId="10" xfId="34" applyNumberFormat="1" applyFont="1" applyFill="1" applyBorder="1" applyAlignment="1">
      <alignment horizontal="center" vertical="center" wrapText="1"/>
    </xf>
    <xf numFmtId="165" fontId="28" fillId="4" borderId="10" xfId="34" applyNumberFormat="1" applyFont="1" applyFill="1" applyBorder="1" applyAlignment="1">
      <alignment horizontal="center" vertical="center" wrapText="1"/>
    </xf>
    <xf numFmtId="0" fontId="2" fillId="4" borderId="11" xfId="0" applyFont="1" applyFill="1" applyBorder="1" applyAlignment="1"/>
    <xf numFmtId="0" fontId="2" fillId="0" borderId="11" xfId="0" applyFont="1" applyFill="1" applyBorder="1" applyAlignment="1"/>
    <xf numFmtId="0" fontId="20" fillId="4" borderId="12" xfId="0" applyFont="1" applyFill="1" applyBorder="1" applyAlignment="1">
      <alignment horizontal="right" vertical="center"/>
    </xf>
    <xf numFmtId="4" fontId="30" fillId="4" borderId="11" xfId="0" applyNumberFormat="1" applyFont="1" applyFill="1" applyBorder="1" applyAlignment="1">
      <alignment horizontal="left" wrapText="1"/>
    </xf>
    <xf numFmtId="0" fontId="29" fillId="4" borderId="11" xfId="27" applyFont="1" applyFill="1" applyBorder="1" applyAlignment="1">
      <alignment horizontal="right" vertical="center"/>
    </xf>
    <xf numFmtId="4" fontId="28" fillId="4" borderId="11" xfId="0" applyNumberFormat="1" applyFont="1" applyFill="1" applyBorder="1" applyAlignment="1">
      <alignment horizontal="left" vertical="center" wrapText="1"/>
    </xf>
    <xf numFmtId="3" fontId="29" fillId="4" borderId="11" xfId="0" applyNumberFormat="1" applyFont="1" applyFill="1" applyBorder="1" applyAlignment="1">
      <alignment horizontal="left" wrapText="1"/>
    </xf>
    <xf numFmtId="3" fontId="30" fillId="4" borderId="11" xfId="0" applyNumberFormat="1" applyFont="1" applyFill="1" applyBorder="1" applyAlignment="1">
      <alignment horizontal="left" wrapText="1"/>
    </xf>
    <xf numFmtId="0" fontId="58" fillId="4" borderId="0" xfId="0" applyFont="1" applyFill="1" applyAlignment="1">
      <alignment vertical="center" wrapText="1"/>
    </xf>
    <xf numFmtId="4" fontId="29" fillId="4" borderId="11" xfId="0" applyNumberFormat="1" applyFont="1" applyFill="1" applyBorder="1" applyAlignment="1">
      <alignment horizontal="left" wrapText="1"/>
    </xf>
    <xf numFmtId="0" fontId="29" fillId="4" borderId="11" xfId="0" applyFont="1" applyFill="1" applyBorder="1" applyAlignment="1">
      <alignment horizontal="center"/>
    </xf>
    <xf numFmtId="0" fontId="31" fillId="4" borderId="11" xfId="0" applyFont="1" applyFill="1" applyBorder="1" applyAlignment="1">
      <alignment horizontal="left" wrapText="1"/>
    </xf>
    <xf numFmtId="0" fontId="28" fillId="4" borderId="0" xfId="0" applyFont="1" applyFill="1" applyAlignment="1"/>
    <xf numFmtId="0" fontId="28" fillId="4" borderId="11" xfId="0" applyFont="1" applyFill="1" applyBorder="1" applyAlignment="1">
      <alignment horizontal="center"/>
    </xf>
    <xf numFmtId="0" fontId="20" fillId="4" borderId="23" xfId="0" applyFont="1" applyFill="1" applyBorder="1" applyAlignment="1">
      <alignment horizontal="right" vertical="center" wrapText="1"/>
    </xf>
    <xf numFmtId="0" fontId="20" fillId="4" borderId="23" xfId="0" applyFont="1" applyFill="1" applyBorder="1" applyAlignment="1">
      <alignment wrapText="1"/>
    </xf>
    <xf numFmtId="167" fontId="59" fillId="4" borderId="9" xfId="0" applyNumberFormat="1" applyFont="1" applyFill="1" applyBorder="1" applyAlignment="1">
      <alignment horizontal="right" vertical="center" wrapText="1"/>
    </xf>
    <xf numFmtId="0" fontId="58" fillId="4" borderId="23" xfId="0" applyFont="1" applyFill="1" applyBorder="1" applyAlignment="1">
      <alignment horizontal="right" vertical="center"/>
    </xf>
    <xf numFmtId="0" fontId="58" fillId="4" borderId="23" xfId="0" applyFont="1" applyFill="1" applyBorder="1" applyAlignment="1">
      <alignment wrapText="1"/>
    </xf>
    <xf numFmtId="0" fontId="58" fillId="4" borderId="23" xfId="0" applyFont="1" applyFill="1" applyBorder="1" applyAlignment="1"/>
    <xf numFmtId="0" fontId="20" fillId="4" borderId="23" xfId="0" applyFont="1" applyFill="1" applyBorder="1" applyAlignment="1">
      <alignment horizontal="right" vertical="center"/>
    </xf>
    <xf numFmtId="0" fontId="2" fillId="0" borderId="25" xfId="0" applyFont="1" applyFill="1" applyBorder="1" applyAlignment="1"/>
    <xf numFmtId="0" fontId="28" fillId="0" borderId="24" xfId="0" applyFont="1" applyFill="1" applyBorder="1" applyAlignment="1">
      <alignment horizontal="center"/>
    </xf>
    <xf numFmtId="0" fontId="30" fillId="0" borderId="24" xfId="0" applyFont="1" applyFill="1" applyBorder="1" applyAlignment="1">
      <alignment horizontal="left" wrapText="1"/>
    </xf>
    <xf numFmtId="4" fontId="29" fillId="0" borderId="24" xfId="0" applyNumberFormat="1" applyFont="1" applyFill="1" applyBorder="1" applyAlignment="1">
      <alignment horizontal="center"/>
    </xf>
    <xf numFmtId="165" fontId="29" fillId="0" borderId="24" xfId="0" applyNumberFormat="1" applyFont="1" applyFill="1" applyBorder="1" applyAlignment="1">
      <alignment horizontal="center"/>
    </xf>
    <xf numFmtId="0" fontId="29" fillId="0" borderId="24" xfId="0" applyFont="1" applyFill="1" applyBorder="1" applyAlignment="1">
      <alignment horizontal="center"/>
    </xf>
    <xf numFmtId="0" fontId="31" fillId="0" borderId="24" xfId="0" applyFont="1" applyFill="1" applyBorder="1" applyAlignment="1">
      <alignment horizontal="left" wrapText="1"/>
    </xf>
    <xf numFmtId="0" fontId="29" fillId="0" borderId="24" xfId="0" applyFont="1" applyFill="1" applyBorder="1" applyAlignment="1">
      <alignment horizontal="left" wrapText="1"/>
    </xf>
    <xf numFmtId="165" fontId="29" fillId="0" borderId="24" xfId="0" quotePrefix="1" applyNumberFormat="1" applyFont="1" applyFill="1" applyBorder="1" applyAlignment="1">
      <alignment horizontal="center"/>
    </xf>
    <xf numFmtId="0" fontId="59" fillId="4" borderId="23" xfId="0" applyFont="1" applyFill="1" applyBorder="1" applyAlignment="1">
      <alignment horizontal="right" vertical="center"/>
    </xf>
    <xf numFmtId="0" fontId="59" fillId="4" borderId="23" xfId="0" applyFont="1" applyFill="1" applyBorder="1" applyAlignment="1">
      <alignment wrapText="1"/>
    </xf>
    <xf numFmtId="0" fontId="59" fillId="4" borderId="23" xfId="0" applyFont="1" applyFill="1" applyBorder="1" applyAlignment="1"/>
    <xf numFmtId="0" fontId="28" fillId="4" borderId="11" xfId="27" applyFont="1" applyFill="1" applyBorder="1" applyAlignment="1">
      <alignment horizontal="right" vertical="center"/>
    </xf>
    <xf numFmtId="0" fontId="28" fillId="5" borderId="0" xfId="0" applyFont="1" applyFill="1" applyAlignment="1"/>
    <xf numFmtId="2" fontId="28" fillId="4" borderId="11" xfId="0" applyNumberFormat="1" applyFont="1" applyFill="1" applyBorder="1" applyAlignment="1">
      <alignment horizontal="right" vertical="center" wrapText="1"/>
    </xf>
    <xf numFmtId="2" fontId="28" fillId="4" borderId="11" xfId="0" applyNumberFormat="1" applyFont="1" applyFill="1" applyBorder="1" applyAlignment="1">
      <alignment horizontal="right" vertical="center"/>
    </xf>
    <xf numFmtId="4" fontId="29" fillId="4" borderId="11" xfId="0" applyNumberFormat="1" applyFont="1" applyFill="1" applyBorder="1"/>
    <xf numFmtId="2" fontId="29" fillId="4" borderId="11" xfId="0" applyNumberFormat="1" applyFont="1" applyFill="1" applyBorder="1" applyAlignment="1">
      <alignment horizontal="right" vertical="center"/>
    </xf>
    <xf numFmtId="0" fontId="28" fillId="0" borderId="22" xfId="0" applyFont="1" applyFill="1" applyBorder="1" applyAlignment="1">
      <alignment horizontal="center"/>
    </xf>
    <xf numFmtId="0" fontId="29" fillId="0" borderId="25" xfId="0" applyFont="1" applyFill="1" applyBorder="1" applyAlignment="1">
      <alignment horizontal="left" wrapText="1"/>
    </xf>
    <xf numFmtId="0" fontId="28" fillId="4" borderId="19" xfId="0" applyFont="1" applyFill="1" applyBorder="1" applyAlignment="1">
      <alignment horizontal="left" wrapText="1"/>
    </xf>
    <xf numFmtId="3" fontId="29" fillId="4" borderId="5" xfId="0" applyNumberFormat="1" applyFont="1" applyFill="1" applyBorder="1" applyAlignment="1">
      <alignment horizontal="center"/>
    </xf>
    <xf numFmtId="0" fontId="29" fillId="4" borderId="22" xfId="0" applyFont="1" applyFill="1" applyBorder="1" applyAlignment="1">
      <alignment horizontal="center"/>
    </xf>
    <xf numFmtId="0" fontId="31" fillId="4" borderId="22" xfId="0" applyFont="1" applyFill="1" applyBorder="1" applyAlignment="1">
      <alignment horizontal="left" wrapText="1"/>
    </xf>
    <xf numFmtId="4" fontId="29" fillId="4" borderId="22" xfId="0" applyNumberFormat="1" applyFont="1" applyFill="1" applyBorder="1" applyAlignment="1">
      <alignment horizontal="center"/>
    </xf>
    <xf numFmtId="165" fontId="29" fillId="4" borderId="22" xfId="0" applyNumberFormat="1" applyFont="1" applyFill="1" applyBorder="1" applyAlignment="1">
      <alignment horizontal="center"/>
    </xf>
    <xf numFmtId="0" fontId="2" fillId="4" borderId="22" xfId="0" applyFont="1" applyFill="1" applyBorder="1" applyAlignment="1">
      <alignment horizontal="center"/>
    </xf>
    <xf numFmtId="4" fontId="2" fillId="4" borderId="22" xfId="0" applyNumberFormat="1" applyFont="1" applyFill="1" applyBorder="1" applyAlignment="1">
      <alignment horizontal="center"/>
    </xf>
    <xf numFmtId="0" fontId="2" fillId="4" borderId="0" xfId="0" applyFont="1" applyFill="1" applyAlignment="1"/>
    <xf numFmtId="0" fontId="29" fillId="4" borderId="22" xfId="0" applyFont="1" applyFill="1" applyBorder="1" applyAlignment="1">
      <alignment horizontal="left" wrapText="1"/>
    </xf>
    <xf numFmtId="0" fontId="30" fillId="4" borderId="22" xfId="0" applyFont="1" applyFill="1" applyBorder="1" applyAlignment="1">
      <alignment horizontal="left" wrapText="1"/>
    </xf>
    <xf numFmtId="0" fontId="28" fillId="4" borderId="22" xfId="0" applyFont="1" applyFill="1" applyBorder="1" applyAlignment="1">
      <alignment horizontal="left" wrapText="1"/>
    </xf>
    <xf numFmtId="4" fontId="28" fillId="4" borderId="22" xfId="0" applyNumberFormat="1" applyFont="1" applyFill="1" applyBorder="1" applyAlignment="1">
      <alignment horizontal="center"/>
    </xf>
    <xf numFmtId="165" fontId="28" fillId="4" borderId="22" xfId="0" applyNumberFormat="1" applyFont="1" applyFill="1" applyBorder="1" applyAlignment="1">
      <alignment horizontal="center"/>
    </xf>
    <xf numFmtId="4" fontId="28" fillId="4" borderId="19" xfId="0" applyNumberFormat="1" applyFont="1" applyFill="1" applyBorder="1" applyAlignment="1">
      <alignment horizontal="center"/>
    </xf>
    <xf numFmtId="165" fontId="28" fillId="4" borderId="19" xfId="0" applyNumberFormat="1" applyFont="1" applyFill="1" applyBorder="1" applyAlignment="1">
      <alignment horizontal="center"/>
    </xf>
    <xf numFmtId="0" fontId="28" fillId="4" borderId="22" xfId="0" applyFont="1" applyFill="1" applyBorder="1" applyAlignment="1">
      <alignment horizontal="center"/>
    </xf>
    <xf numFmtId="0" fontId="31" fillId="4" borderId="22" xfId="27" applyFont="1" applyFill="1" applyBorder="1" applyAlignment="1">
      <alignment horizontal="left" wrapText="1"/>
    </xf>
    <xf numFmtId="0" fontId="29" fillId="4" borderId="0" xfId="0" applyFont="1" applyFill="1" applyBorder="1" applyAlignment="1">
      <alignment horizontal="center"/>
    </xf>
    <xf numFmtId="0" fontId="28" fillId="4" borderId="0" xfId="0" applyFont="1" applyFill="1" applyBorder="1" applyAlignment="1">
      <alignment horizontal="left" wrapText="1"/>
    </xf>
    <xf numFmtId="4" fontId="28" fillId="4" borderId="0" xfId="0" applyNumberFormat="1" applyFont="1" applyFill="1" applyBorder="1" applyAlignment="1">
      <alignment horizontal="center"/>
    </xf>
    <xf numFmtId="165" fontId="29" fillId="4" borderId="0" xfId="0" applyNumberFormat="1" applyFont="1" applyFill="1" applyBorder="1" applyAlignment="1">
      <alignment horizontal="center"/>
    </xf>
    <xf numFmtId="4" fontId="29" fillId="4" borderId="0" xfId="0" applyNumberFormat="1" applyFont="1" applyFill="1" applyBorder="1" applyAlignment="1">
      <alignment horizontal="center"/>
    </xf>
    <xf numFmtId="0" fontId="41" fillId="4" borderId="23" xfId="0" applyFont="1" applyFill="1" applyBorder="1" applyAlignment="1">
      <alignment wrapText="1"/>
    </xf>
    <xf numFmtId="0" fontId="41" fillId="4" borderId="0" xfId="0" applyNumberFormat="1" applyFont="1" applyFill="1" applyBorder="1" applyAlignment="1">
      <alignment horizontal="right" vertical="center" wrapText="1"/>
    </xf>
    <xf numFmtId="0" fontId="41" fillId="4" borderId="0" xfId="0" applyNumberFormat="1" applyFont="1" applyFill="1" applyBorder="1" applyAlignment="1">
      <alignment vertical="top" wrapText="1"/>
    </xf>
    <xf numFmtId="0" fontId="41" fillId="4" borderId="0" xfId="0" applyNumberFormat="1" applyFont="1" applyFill="1" applyBorder="1" applyAlignment="1">
      <alignment horizontal="center" vertical="top" wrapText="1"/>
    </xf>
    <xf numFmtId="1" fontId="41" fillId="4" borderId="0" xfId="0" applyNumberFormat="1" applyFont="1" applyFill="1" applyBorder="1" applyAlignment="1">
      <alignment horizontal="center" vertical="center" wrapText="1"/>
    </xf>
    <xf numFmtId="1" fontId="41" fillId="4" borderId="0" xfId="0" applyNumberFormat="1" applyFont="1" applyFill="1" applyBorder="1" applyAlignment="1">
      <alignment horizontal="right" vertical="center" wrapText="1"/>
    </xf>
    <xf numFmtId="0" fontId="40" fillId="4" borderId="23" xfId="0" applyFont="1" applyFill="1" applyBorder="1" applyAlignment="1">
      <alignment wrapText="1"/>
    </xf>
    <xf numFmtId="0" fontId="42" fillId="4" borderId="23" xfId="0" applyFont="1" applyFill="1" applyBorder="1" applyAlignment="1">
      <alignment horizontal="right" vertical="center" wrapText="1"/>
    </xf>
    <xf numFmtId="0" fontId="42" fillId="4" borderId="23" xfId="0" applyFont="1" applyFill="1" applyBorder="1" applyAlignment="1">
      <alignment wrapText="1"/>
    </xf>
    <xf numFmtId="0" fontId="42" fillId="4" borderId="23" xfId="0" applyFont="1" applyFill="1" applyBorder="1" applyAlignment="1">
      <alignment vertical="center" wrapText="1"/>
    </xf>
    <xf numFmtId="3" fontId="29" fillId="0" borderId="24" xfId="0" applyNumberFormat="1" applyFont="1" applyFill="1" applyBorder="1" applyAlignment="1">
      <alignment horizontal="center"/>
    </xf>
    <xf numFmtId="0" fontId="28" fillId="4" borderId="8" xfId="0" applyFont="1" applyFill="1" applyBorder="1" applyAlignment="1">
      <alignment horizontal="left" wrapText="1"/>
    </xf>
    <xf numFmtId="0" fontId="46" fillId="4" borderId="8" xfId="0" applyFont="1" applyFill="1" applyBorder="1" applyAlignment="1">
      <alignment horizontal="center"/>
    </xf>
    <xf numFmtId="3" fontId="28" fillId="4" borderId="8" xfId="0" applyNumberFormat="1" applyFont="1" applyFill="1" applyBorder="1" applyAlignment="1">
      <alignment horizontal="center" vertical="center"/>
    </xf>
    <xf numFmtId="165" fontId="66" fillId="4" borderId="8" xfId="0" applyNumberFormat="1" applyFont="1" applyFill="1" applyBorder="1" applyAlignment="1">
      <alignment horizontal="center" vertical="center"/>
    </xf>
    <xf numFmtId="0" fontId="20" fillId="4" borderId="25" xfId="0" applyFont="1" applyFill="1" applyBorder="1" applyAlignment="1">
      <alignment horizontal="right" vertical="center"/>
    </xf>
    <xf numFmtId="0" fontId="20" fillId="4" borderId="25" xfId="0" applyFont="1" applyFill="1" applyBorder="1" applyAlignment="1">
      <alignment wrapText="1"/>
    </xf>
    <xf numFmtId="0" fontId="20" fillId="4" borderId="25" xfId="0" applyFont="1" applyFill="1" applyBorder="1" applyAlignment="1">
      <alignment horizontal="center" vertical="center"/>
    </xf>
    <xf numFmtId="3" fontId="20" fillId="4" borderId="25" xfId="0" applyNumberFormat="1" applyFont="1" applyFill="1" applyBorder="1" applyAlignment="1"/>
    <xf numFmtId="165" fontId="28" fillId="4" borderId="25" xfId="0" applyNumberFormat="1" applyFont="1" applyFill="1" applyBorder="1" applyAlignment="1"/>
    <xf numFmtId="0" fontId="29" fillId="4" borderId="25" xfId="0" applyFont="1" applyFill="1" applyBorder="1" applyAlignment="1">
      <alignment horizontal="right" vertical="center"/>
    </xf>
    <xf numFmtId="0" fontId="29" fillId="4" borderId="25" xfId="0" applyFont="1" applyFill="1" applyBorder="1"/>
    <xf numFmtId="0" fontId="29" fillId="4" borderId="25" xfId="0" applyFont="1" applyFill="1" applyBorder="1" applyAlignment="1">
      <alignment vertical="center"/>
    </xf>
    <xf numFmtId="4" fontId="29" fillId="4" borderId="25" xfId="0" applyNumberFormat="1" applyFont="1" applyFill="1" applyBorder="1"/>
    <xf numFmtId="167" fontId="40" fillId="4" borderId="9" xfId="0" applyNumberFormat="1" applyFont="1" applyFill="1" applyBorder="1" applyAlignment="1">
      <alignment horizontal="right" vertical="center" wrapText="1"/>
    </xf>
    <xf numFmtId="0" fontId="41" fillId="4" borderId="23" xfId="0" applyFont="1" applyFill="1" applyBorder="1" applyAlignment="1">
      <alignment horizontal="right" vertical="center"/>
    </xf>
    <xf numFmtId="0" fontId="41" fillId="4" borderId="23" xfId="0" applyFont="1" applyFill="1" applyBorder="1" applyAlignment="1"/>
    <xf numFmtId="0" fontId="41" fillId="4" borderId="23" xfId="0" applyFont="1" applyFill="1" applyBorder="1" applyAlignment="1">
      <alignment vertical="center"/>
    </xf>
    <xf numFmtId="0" fontId="40" fillId="4" borderId="23" xfId="0" applyFont="1" applyFill="1" applyBorder="1" applyAlignment="1">
      <alignment horizontal="right" vertical="center"/>
    </xf>
    <xf numFmtId="0" fontId="40" fillId="4" borderId="23" xfId="0" applyFont="1" applyFill="1" applyBorder="1" applyAlignment="1"/>
    <xf numFmtId="0" fontId="40" fillId="4" borderId="23" xfId="0" applyFont="1" applyFill="1" applyBorder="1" applyAlignment="1">
      <alignment vertical="center"/>
    </xf>
    <xf numFmtId="0" fontId="40" fillId="4" borderId="0" xfId="0" applyNumberFormat="1" applyFont="1" applyFill="1" applyBorder="1" applyAlignment="1">
      <alignment horizontal="right" vertical="center" wrapText="1"/>
    </xf>
    <xf numFmtId="0" fontId="40" fillId="4" borderId="0" xfId="0" applyNumberFormat="1" applyFont="1" applyFill="1" applyBorder="1" applyAlignment="1">
      <alignment vertical="top" wrapText="1"/>
    </xf>
    <xf numFmtId="0" fontId="40" fillId="4" borderId="0" xfId="0" applyNumberFormat="1" applyFont="1" applyFill="1" applyBorder="1" applyAlignment="1">
      <alignment horizontal="center" vertical="top" wrapText="1"/>
    </xf>
    <xf numFmtId="1" fontId="40" fillId="4" borderId="0" xfId="0" applyNumberFormat="1" applyFont="1" applyFill="1" applyBorder="1" applyAlignment="1">
      <alignment horizontal="center" vertical="center" wrapText="1"/>
    </xf>
    <xf numFmtId="1" fontId="40" fillId="4" borderId="0" xfId="0" applyNumberFormat="1" applyFont="1" applyFill="1" applyBorder="1" applyAlignment="1">
      <alignment horizontal="right" vertical="center" wrapText="1"/>
    </xf>
    <xf numFmtId="0" fontId="29" fillId="4" borderId="25" xfId="0" applyFont="1" applyFill="1" applyBorder="1" applyAlignment="1">
      <alignment horizontal="left" wrapText="1"/>
    </xf>
    <xf numFmtId="4" fontId="29" fillId="4" borderId="25" xfId="0" applyNumberFormat="1" applyFont="1" applyFill="1" applyBorder="1" applyAlignment="1">
      <alignment horizontal="center"/>
    </xf>
    <xf numFmtId="3" fontId="29" fillId="4" borderId="25" xfId="0" applyNumberFormat="1" applyFont="1" applyFill="1" applyBorder="1" applyAlignment="1">
      <alignment horizontal="center" vertical="center"/>
    </xf>
    <xf numFmtId="165" fontId="29" fillId="4" borderId="25" xfId="0" applyNumberFormat="1" applyFont="1" applyFill="1" applyBorder="1" applyAlignment="1">
      <alignment horizontal="center" vertical="center"/>
    </xf>
    <xf numFmtId="1" fontId="41" fillId="4" borderId="0" xfId="0" applyNumberFormat="1" applyFont="1" applyFill="1" applyBorder="1" applyAlignment="1">
      <alignment horizontal="center" vertical="top" wrapText="1"/>
    </xf>
    <xf numFmtId="1" fontId="41" fillId="4" borderId="0" xfId="0" applyNumberFormat="1" applyFont="1" applyFill="1" applyBorder="1" applyAlignment="1">
      <alignment horizontal="right" vertical="top" wrapText="1"/>
    </xf>
    <xf numFmtId="1" fontId="40" fillId="4" borderId="0" xfId="0" applyNumberFormat="1" applyFont="1" applyFill="1" applyBorder="1" applyAlignment="1">
      <alignment horizontal="center" vertical="top" wrapText="1"/>
    </xf>
    <xf numFmtId="1" fontId="40" fillId="4" borderId="0" xfId="0" applyNumberFormat="1" applyFont="1" applyFill="1" applyBorder="1" applyAlignment="1">
      <alignment horizontal="right" vertical="top" wrapText="1"/>
    </xf>
    <xf numFmtId="0" fontId="28" fillId="4" borderId="11" xfId="0" applyFont="1" applyFill="1" applyBorder="1" applyAlignment="1">
      <alignment horizontal="right" vertical="center" wrapText="1"/>
    </xf>
    <xf numFmtId="0" fontId="28" fillId="4" borderId="25" xfId="0" applyFont="1" applyFill="1" applyBorder="1" applyAlignment="1">
      <alignment horizontal="right" vertical="center"/>
    </xf>
    <xf numFmtId="0" fontId="28" fillId="4" borderId="25" xfId="0" applyFont="1" applyFill="1" applyBorder="1"/>
    <xf numFmtId="1" fontId="58" fillId="4" borderId="0" xfId="0" applyNumberFormat="1" applyFont="1" applyFill="1" applyBorder="1" applyAlignment="1">
      <alignment horizontal="center" vertical="top" wrapText="1"/>
    </xf>
    <xf numFmtId="0" fontId="2" fillId="0" borderId="24" xfId="0" applyFont="1" applyFill="1" applyBorder="1" applyAlignment="1">
      <alignment horizontal="center"/>
    </xf>
    <xf numFmtId="3" fontId="29" fillId="0" borderId="19" xfId="0" applyNumberFormat="1" applyFont="1" applyFill="1" applyBorder="1" applyAlignment="1">
      <alignment horizontal="center"/>
    </xf>
    <xf numFmtId="0" fontId="29" fillId="0" borderId="19" xfId="0" applyFont="1" applyFill="1" applyBorder="1" applyAlignment="1">
      <alignment horizontal="left" wrapText="1"/>
    </xf>
    <xf numFmtId="165" fontId="29" fillId="0" borderId="19" xfId="0" applyNumberFormat="1" applyFont="1" applyFill="1" applyBorder="1" applyAlignment="1">
      <alignment horizontal="center"/>
    </xf>
    <xf numFmtId="0" fontId="29" fillId="0" borderId="14" xfId="0" applyFont="1" applyFill="1" applyBorder="1" applyAlignment="1">
      <alignment horizontal="left" wrapText="1"/>
    </xf>
    <xf numFmtId="3" fontId="29" fillId="0" borderId="14" xfId="0" applyNumberFormat="1" applyFont="1" applyFill="1" applyBorder="1" applyAlignment="1">
      <alignment horizontal="center"/>
    </xf>
    <xf numFmtId="165" fontId="29" fillId="0" borderId="14" xfId="0" applyNumberFormat="1" applyFont="1" applyFill="1" applyBorder="1" applyAlignment="1">
      <alignment horizontal="center"/>
    </xf>
    <xf numFmtId="0" fontId="29" fillId="4" borderId="24" xfId="0" applyFont="1" applyFill="1" applyBorder="1" applyAlignment="1">
      <alignment horizontal="center"/>
    </xf>
    <xf numFmtId="0" fontId="2" fillId="4" borderId="24" xfId="0" applyFont="1" applyFill="1" applyBorder="1" applyAlignment="1">
      <alignment horizontal="center"/>
    </xf>
    <xf numFmtId="2" fontId="22" fillId="0" borderId="25" xfId="0" applyNumberFormat="1" applyFont="1" applyFill="1" applyBorder="1" applyAlignment="1">
      <alignment horizontal="center"/>
    </xf>
    <xf numFmtId="0" fontId="22" fillId="0" borderId="25" xfId="0" applyFont="1" applyFill="1" applyBorder="1" applyAlignment="1">
      <alignment horizontal="left" wrapText="1"/>
    </xf>
    <xf numFmtId="4" fontId="22" fillId="0" borderId="25" xfId="0" applyNumberFormat="1" applyFont="1" applyFill="1" applyBorder="1" applyAlignment="1">
      <alignment horizontal="center"/>
    </xf>
    <xf numFmtId="3" fontId="22" fillId="0" borderId="25" xfId="0" applyNumberFormat="1" applyFont="1" applyFill="1" applyBorder="1" applyAlignment="1">
      <alignment horizontal="center"/>
    </xf>
    <xf numFmtId="44" fontId="22" fillId="0" borderId="25" xfId="38" applyFont="1" applyFill="1" applyBorder="1" applyAlignment="1"/>
    <xf numFmtId="2" fontId="24" fillId="0" borderId="25" xfId="0" applyNumberFormat="1" applyFont="1" applyFill="1" applyBorder="1" applyAlignment="1">
      <alignment horizontal="center"/>
    </xf>
    <xf numFmtId="0" fontId="24" fillId="0" borderId="25" xfId="0" applyFont="1" applyFill="1" applyBorder="1" applyAlignment="1">
      <alignment horizontal="left" wrapText="1"/>
    </xf>
    <xf numFmtId="3" fontId="24" fillId="0" borderId="25" xfId="0" applyNumberFormat="1" applyFont="1" applyFill="1" applyBorder="1" applyAlignment="1">
      <alignment horizontal="center"/>
    </xf>
    <xf numFmtId="4" fontId="24" fillId="0" borderId="25" xfId="0" applyNumberFormat="1" applyFont="1" applyFill="1" applyBorder="1" applyAlignment="1">
      <alignment horizontal="center"/>
    </xf>
    <xf numFmtId="44" fontId="24" fillId="0" borderId="25" xfId="38" applyFont="1" applyFill="1" applyBorder="1" applyAlignment="1"/>
    <xf numFmtId="43" fontId="29" fillId="0" borderId="0" xfId="0" applyNumberFormat="1" applyFont="1"/>
    <xf numFmtId="43" fontId="28" fillId="4" borderId="0" xfId="0" applyNumberFormat="1" applyFont="1" applyFill="1"/>
    <xf numFmtId="44" fontId="28" fillId="0" borderId="5" xfId="38" applyFont="1" applyFill="1" applyBorder="1" applyAlignment="1">
      <alignment horizontal="center" vertical="center" wrapText="1"/>
    </xf>
    <xf numFmtId="44" fontId="2" fillId="0" borderId="5" xfId="38" applyFont="1" applyFill="1" applyBorder="1" applyAlignment="1"/>
    <xf numFmtId="44" fontId="29" fillId="0" borderId="5" xfId="38" applyFont="1" applyFill="1" applyBorder="1" applyAlignment="1"/>
    <xf numFmtId="44" fontId="29" fillId="0" borderId="5" xfId="38" applyFont="1" applyFill="1" applyBorder="1" applyAlignment="1">
      <alignment horizontal="right"/>
    </xf>
    <xf numFmtId="44" fontId="29" fillId="0" borderId="22" xfId="38" applyFont="1" applyFill="1" applyBorder="1" applyAlignment="1">
      <alignment horizontal="right"/>
    </xf>
    <xf numFmtId="44" fontId="29" fillId="0" borderId="21" xfId="38" applyFont="1" applyFill="1" applyBorder="1" applyAlignment="1"/>
    <xf numFmtId="44" fontId="28" fillId="0" borderId="5" xfId="38" applyFont="1" applyFill="1" applyBorder="1" applyAlignment="1"/>
    <xf numFmtId="44" fontId="28" fillId="4" borderId="7" xfId="38" applyFont="1" applyFill="1" applyBorder="1" applyAlignment="1">
      <alignment horizontal="center" vertical="center" wrapText="1"/>
    </xf>
    <xf numFmtId="44" fontId="28" fillId="4" borderId="2" xfId="38" applyFont="1" applyFill="1" applyBorder="1" applyAlignment="1"/>
    <xf numFmtId="44" fontId="2" fillId="0" borderId="22" xfId="38" applyFont="1" applyFill="1" applyBorder="1" applyAlignment="1">
      <alignment horizontal="right"/>
    </xf>
    <xf numFmtId="44" fontId="29" fillId="0" borderId="5" xfId="38" applyFont="1" applyFill="1" applyBorder="1" applyAlignment="1">
      <alignment vertical="center"/>
    </xf>
    <xf numFmtId="44" fontId="28" fillId="0" borderId="22" xfId="38" applyFont="1" applyFill="1" applyBorder="1" applyAlignment="1">
      <alignment horizontal="right"/>
    </xf>
    <xf numFmtId="44" fontId="28" fillId="0" borderId="19" xfId="38" applyFont="1" applyFill="1" applyBorder="1" applyAlignment="1">
      <alignment horizontal="right"/>
    </xf>
    <xf numFmtId="44" fontId="59" fillId="4" borderId="9" xfId="38" applyFont="1" applyFill="1" applyBorder="1" applyAlignment="1">
      <alignment horizontal="right" vertical="top" wrapText="1"/>
    </xf>
    <xf numFmtId="44" fontId="58" fillId="4" borderId="9" xfId="38" applyFont="1" applyFill="1" applyBorder="1" applyAlignment="1">
      <alignment horizontal="right" vertical="top" wrapText="1"/>
    </xf>
    <xf numFmtId="44" fontId="58" fillId="4" borderId="9" xfId="38" applyFont="1" applyFill="1" applyBorder="1" applyAlignment="1">
      <alignment wrapText="1"/>
    </xf>
    <xf numFmtId="44" fontId="2" fillId="4" borderId="9" xfId="38" applyFont="1" applyFill="1" applyBorder="1" applyAlignment="1">
      <alignment horizontal="right" vertical="center"/>
    </xf>
    <xf numFmtId="44" fontId="20" fillId="4" borderId="23" xfId="38" applyFont="1" applyFill="1" applyBorder="1" applyAlignment="1">
      <alignment horizontal="right" vertical="center"/>
    </xf>
    <xf numFmtId="44" fontId="29" fillId="4" borderId="9" xfId="38" applyFont="1" applyFill="1" applyBorder="1" applyAlignment="1">
      <alignment horizontal="right" vertical="center"/>
    </xf>
    <xf numFmtId="44" fontId="2" fillId="4" borderId="23" xfId="38" applyFont="1" applyFill="1" applyBorder="1" applyAlignment="1">
      <alignment horizontal="right" vertical="center"/>
    </xf>
    <xf numFmtId="44" fontId="28" fillId="0" borderId="0" xfId="38" applyFont="1" applyFill="1" applyBorder="1" applyAlignment="1">
      <alignment horizontal="right"/>
    </xf>
    <xf numFmtId="44" fontId="20" fillId="4" borderId="9" xfId="38" applyFont="1" applyFill="1" applyBorder="1" applyAlignment="1">
      <alignment horizontal="right" vertical="center"/>
    </xf>
    <xf numFmtId="44" fontId="29" fillId="0" borderId="24" xfId="38" applyFont="1" applyFill="1" applyBorder="1" applyAlignment="1">
      <alignment horizontal="right"/>
    </xf>
    <xf numFmtId="44" fontId="20" fillId="4" borderId="0" xfId="38" applyFont="1" applyFill="1" applyBorder="1" applyAlignment="1">
      <alignment horizontal="right" vertical="center"/>
    </xf>
    <xf numFmtId="44" fontId="28" fillId="4" borderId="10" xfId="38" applyFont="1" applyFill="1" applyBorder="1" applyAlignment="1">
      <alignment horizontal="center" vertical="center" wrapText="1"/>
    </xf>
    <xf numFmtId="44" fontId="28" fillId="4" borderId="11" xfId="38" applyFont="1" applyFill="1" applyBorder="1" applyAlignment="1">
      <alignment horizontal="right" indent="1"/>
    </xf>
    <xf numFmtId="44" fontId="29" fillId="4" borderId="11" xfId="38" applyFont="1" applyFill="1" applyBorder="1" applyAlignment="1">
      <alignment horizontal="right" indent="1"/>
    </xf>
    <xf numFmtId="44" fontId="30" fillId="4" borderId="11" xfId="38" applyFont="1" applyFill="1" applyBorder="1" applyAlignment="1">
      <alignment horizontal="right"/>
    </xf>
    <xf numFmtId="44" fontId="28" fillId="4" borderId="11" xfId="38" applyFont="1" applyFill="1" applyBorder="1" applyAlignment="1"/>
    <xf numFmtId="44" fontId="29" fillId="4" borderId="11" xfId="38" applyFont="1" applyFill="1" applyBorder="1" applyAlignment="1">
      <alignment horizontal="right"/>
    </xf>
    <xf numFmtId="44" fontId="20" fillId="4" borderId="11" xfId="38" applyFont="1" applyFill="1" applyBorder="1" applyAlignment="1"/>
    <xf numFmtId="44" fontId="20" fillId="4" borderId="25" xfId="38" applyFont="1" applyFill="1" applyBorder="1" applyAlignment="1"/>
    <xf numFmtId="44" fontId="29" fillId="4" borderId="11" xfId="38" applyFont="1" applyFill="1" applyBorder="1"/>
    <xf numFmtId="44" fontId="28" fillId="4" borderId="11" xfId="38" applyFont="1" applyFill="1" applyBorder="1"/>
    <xf numFmtId="44" fontId="29" fillId="0" borderId="0" xfId="38" applyFont="1"/>
    <xf numFmtId="44" fontId="7" fillId="0" borderId="5" xfId="38" applyFont="1" applyFill="1" applyBorder="1" applyAlignment="1"/>
    <xf numFmtId="44" fontId="22" fillId="4" borderId="7" xfId="38" applyFont="1" applyFill="1" applyBorder="1" applyAlignment="1">
      <alignment horizontal="center" vertical="center" wrapText="1"/>
    </xf>
    <xf numFmtId="44" fontId="29" fillId="0" borderId="19" xfId="38" applyFont="1" applyFill="1" applyBorder="1" applyAlignment="1"/>
    <xf numFmtId="44" fontId="41" fillId="4" borderId="9" xfId="38" applyFont="1" applyFill="1" applyBorder="1" applyAlignment="1">
      <alignment horizontal="right" vertical="top" wrapText="1"/>
    </xf>
    <xf numFmtId="44" fontId="41" fillId="4" borderId="9" xfId="38" applyFont="1" applyFill="1" applyBorder="1" applyAlignment="1">
      <alignment wrapText="1"/>
    </xf>
    <xf numFmtId="44" fontId="43" fillId="4" borderId="9" xfId="38" applyFont="1" applyFill="1" applyBorder="1" applyAlignment="1">
      <alignment horizontal="right" vertical="center"/>
    </xf>
    <xf numFmtId="44" fontId="42" fillId="4" borderId="9" xfId="38" applyFont="1" applyFill="1" applyBorder="1" applyAlignment="1">
      <alignment horizontal="right" vertical="center"/>
    </xf>
    <xf numFmtId="44" fontId="42" fillId="4" borderId="23" xfId="38" applyFont="1" applyFill="1" applyBorder="1" applyAlignment="1">
      <alignment horizontal="right" vertical="center"/>
    </xf>
    <xf numFmtId="44" fontId="48" fillId="4" borderId="9" xfId="38" applyFont="1" applyFill="1" applyBorder="1" applyAlignment="1">
      <alignment horizontal="right" vertical="center"/>
    </xf>
    <xf numFmtId="44" fontId="43" fillId="4" borderId="23" xfId="38" applyFont="1" applyFill="1" applyBorder="1" applyAlignment="1">
      <alignment horizontal="right" vertical="center"/>
    </xf>
    <xf numFmtId="44" fontId="42" fillId="4" borderId="0" xfId="38" applyFont="1" applyFill="1" applyBorder="1" applyAlignment="1">
      <alignment horizontal="right" vertical="center"/>
    </xf>
    <xf numFmtId="44" fontId="43" fillId="4" borderId="0" xfId="38" applyFont="1" applyFill="1" applyBorder="1" applyAlignment="1">
      <alignment horizontal="right" vertical="center"/>
    </xf>
    <xf numFmtId="44" fontId="22" fillId="4" borderId="10" xfId="38" applyFont="1" applyFill="1" applyBorder="1" applyAlignment="1">
      <alignment horizontal="center" vertical="center" wrapText="1"/>
    </xf>
    <xf numFmtId="44" fontId="46" fillId="4" borderId="11" xfId="38" applyFont="1" applyFill="1" applyBorder="1" applyAlignment="1">
      <alignment horizontal="right" indent="1"/>
    </xf>
    <xf numFmtId="44" fontId="48" fillId="4" borderId="11" xfId="38" applyFont="1" applyFill="1" applyBorder="1" applyAlignment="1">
      <alignment horizontal="right" indent="1"/>
    </xf>
    <xf numFmtId="44" fontId="47" fillId="4" borderId="11" xfId="38" applyFont="1" applyFill="1" applyBorder="1" applyAlignment="1">
      <alignment horizontal="right"/>
    </xf>
    <xf numFmtId="44" fontId="48" fillId="4" borderId="8" xfId="38" applyFont="1" applyFill="1" applyBorder="1" applyAlignment="1">
      <alignment horizontal="right" indent="1"/>
    </xf>
    <xf numFmtId="44" fontId="39" fillId="4" borderId="8" xfId="38" applyFont="1" applyFill="1" applyBorder="1" applyAlignment="1">
      <alignment vertical="top" wrapText="1"/>
    </xf>
    <xf numFmtId="44" fontId="39" fillId="4" borderId="8" xfId="38" applyFont="1" applyFill="1" applyBorder="1" applyAlignment="1">
      <alignment wrapText="1"/>
    </xf>
    <xf numFmtId="44" fontId="29" fillId="4" borderId="25" xfId="38" applyFont="1" applyFill="1" applyBorder="1"/>
    <xf numFmtId="44" fontId="28" fillId="4" borderId="25" xfId="38" applyFont="1" applyFill="1" applyBorder="1"/>
    <xf numFmtId="44" fontId="29" fillId="0" borderId="11" xfId="38" applyFont="1" applyFill="1" applyBorder="1" applyAlignment="1"/>
    <xf numFmtId="44" fontId="5" fillId="0" borderId="15" xfId="38" applyFont="1" applyFill="1" applyBorder="1"/>
    <xf numFmtId="44" fontId="29" fillId="0" borderId="26" xfId="38" applyFont="1" applyFill="1" applyBorder="1" applyAlignment="1"/>
    <xf numFmtId="44" fontId="20" fillId="0" borderId="15" xfId="38" applyFont="1" applyFill="1" applyBorder="1"/>
    <xf numFmtId="44" fontId="28" fillId="4" borderId="11" xfId="38" applyFont="1" applyFill="1" applyBorder="1" applyAlignment="1">
      <alignment horizontal="center" vertical="center" wrapText="1"/>
    </xf>
    <xf numFmtId="44" fontId="28" fillId="0" borderId="11" xfId="38" applyFont="1" applyFill="1" applyBorder="1" applyAlignment="1">
      <alignment horizontal="center" vertical="center" wrapText="1"/>
    </xf>
    <xf numFmtId="44" fontId="28" fillId="0" borderId="18" xfId="38" applyFont="1" applyFill="1" applyBorder="1" applyAlignment="1">
      <alignment vertical="center" wrapText="1"/>
    </xf>
    <xf numFmtId="44" fontId="7" fillId="0" borderId="18" xfId="38" applyFont="1" applyFill="1" applyBorder="1" applyAlignment="1"/>
    <xf numFmtId="44" fontId="29" fillId="0" borderId="18" xfId="38" applyFont="1" applyFill="1" applyBorder="1" applyAlignment="1"/>
    <xf numFmtId="44" fontId="28" fillId="0" borderId="18" xfId="38" applyFont="1" applyFill="1" applyBorder="1" applyAlignment="1"/>
    <xf numFmtId="44" fontId="22" fillId="4" borderId="18" xfId="38" applyFont="1" applyFill="1" applyBorder="1" applyAlignment="1">
      <alignment vertical="center" wrapText="1"/>
    </xf>
    <xf numFmtId="44" fontId="22" fillId="4" borderId="18" xfId="38" applyFont="1" applyFill="1" applyBorder="1" applyAlignment="1"/>
    <xf numFmtId="44" fontId="41" fillId="4" borderId="18" xfId="38" applyFont="1" applyFill="1" applyBorder="1" applyAlignment="1">
      <alignment vertical="top" wrapText="1"/>
    </xf>
    <xf numFmtId="44" fontId="40" fillId="4" borderId="18" xfId="38" applyFont="1" applyFill="1" applyBorder="1" applyAlignment="1">
      <alignment vertical="top" wrapText="1"/>
    </xf>
    <xf numFmtId="44" fontId="41" fillId="4" borderId="18" xfId="38" applyFont="1" applyFill="1" applyBorder="1" applyAlignment="1">
      <alignment wrapText="1"/>
    </xf>
    <xf numFmtId="44" fontId="40" fillId="4" borderId="18" xfId="38" applyFont="1" applyFill="1" applyBorder="1" applyAlignment="1">
      <alignment wrapText="1"/>
    </xf>
    <xf numFmtId="44" fontId="28" fillId="4" borderId="18" xfId="38" applyFont="1" applyFill="1" applyBorder="1" applyAlignment="1">
      <alignment vertical="center" wrapText="1"/>
    </xf>
    <xf numFmtId="44" fontId="42" fillId="4" borderId="18" xfId="38" applyFont="1" applyFill="1" applyBorder="1" applyAlignment="1">
      <alignment vertical="center"/>
    </xf>
    <xf numFmtId="44" fontId="43" fillId="4" borderId="18" xfId="38" applyFont="1" applyFill="1" applyBorder="1" applyAlignment="1">
      <alignment vertical="center"/>
    </xf>
    <xf numFmtId="44" fontId="48" fillId="4" borderId="18" xfId="38" applyFont="1" applyFill="1" applyBorder="1" applyAlignment="1">
      <alignment vertical="center"/>
    </xf>
    <xf numFmtId="44" fontId="46" fillId="4" borderId="18" xfId="38" applyFont="1" applyFill="1" applyBorder="1" applyAlignment="1"/>
    <xf numFmtId="44" fontId="48" fillId="4" borderId="18" xfId="38" applyFont="1" applyFill="1" applyBorder="1" applyAlignment="1"/>
    <xf numFmtId="44" fontId="47" fillId="4" borderId="18" xfId="38" applyFont="1" applyFill="1" applyBorder="1" applyAlignment="1"/>
    <xf numFmtId="44" fontId="46" fillId="4" borderId="18" xfId="38" applyFont="1" applyFill="1" applyBorder="1" applyAlignment="1">
      <alignment wrapText="1"/>
    </xf>
    <xf numFmtId="44" fontId="48" fillId="4" borderId="18" xfId="38" applyFont="1" applyFill="1" applyBorder="1" applyAlignment="1">
      <alignment wrapText="1"/>
    </xf>
    <xf numFmtId="44" fontId="43" fillId="4" borderId="18" xfId="38" applyFont="1" applyFill="1" applyBorder="1" applyAlignment="1">
      <alignment wrapText="1"/>
    </xf>
    <xf numFmtId="44" fontId="44" fillId="4" borderId="18" xfId="38" applyFont="1" applyFill="1" applyBorder="1" applyAlignment="1"/>
    <xf numFmtId="44" fontId="21" fillId="4" borderId="18" xfId="38" applyFont="1" applyFill="1" applyBorder="1" applyAlignment="1">
      <alignment vertical="center" wrapText="1"/>
    </xf>
    <xf numFmtId="44" fontId="4" fillId="4" borderId="18" xfId="38" applyFont="1" applyFill="1" applyBorder="1" applyAlignment="1">
      <alignment wrapText="1"/>
    </xf>
    <xf numFmtId="44" fontId="4" fillId="0" borderId="18" xfId="38" applyFont="1" applyBorder="1" applyAlignment="1">
      <alignment wrapText="1"/>
    </xf>
    <xf numFmtId="44" fontId="4" fillId="4" borderId="18" xfId="38" applyFont="1" applyFill="1" applyBorder="1" applyAlignment="1"/>
    <xf numFmtId="44" fontId="20" fillId="4" borderId="18" xfId="38" applyFont="1" applyFill="1" applyBorder="1" applyAlignment="1"/>
    <xf numFmtId="44" fontId="4" fillId="0" borderId="0" xfId="38" applyFont="1" applyAlignment="1"/>
    <xf numFmtId="44" fontId="29" fillId="0" borderId="0" xfId="38" applyFont="1" applyAlignment="1"/>
    <xf numFmtId="44" fontId="28" fillId="2" borderId="8" xfId="38" applyFont="1" applyFill="1" applyBorder="1" applyAlignment="1">
      <alignment horizontal="center" vertical="center"/>
    </xf>
    <xf numFmtId="44" fontId="0" fillId="0" borderId="8" xfId="38" applyFont="1" applyFill="1" applyBorder="1" applyAlignment="1"/>
    <xf numFmtId="44" fontId="29" fillId="0" borderId="8" xfId="38" applyFont="1" applyFill="1" applyBorder="1" applyAlignment="1"/>
    <xf numFmtId="44" fontId="50" fillId="0" borderId="8" xfId="38" applyFont="1" applyFill="1" applyBorder="1" applyAlignment="1">
      <alignment horizontal="right" vertical="center"/>
    </xf>
    <xf numFmtId="44" fontId="52" fillId="0" borderId="8" xfId="38" applyFont="1" applyFill="1" applyBorder="1" applyAlignment="1">
      <alignment horizontal="right" vertical="center"/>
    </xf>
    <xf numFmtId="44" fontId="50" fillId="0" borderId="18" xfId="38" applyFont="1" applyFill="1" applyBorder="1" applyAlignment="1">
      <alignment horizontal="right" vertical="center"/>
    </xf>
    <xf numFmtId="44" fontId="0" fillId="0" borderId="8" xfId="38" applyFont="1" applyFill="1" applyBorder="1" applyAlignment="1">
      <alignment horizontal="right" vertical="center"/>
    </xf>
    <xf numFmtId="44" fontId="53" fillId="0" borderId="8" xfId="38" applyFont="1" applyFill="1" applyBorder="1" applyAlignment="1">
      <alignment horizontal="right" vertical="center"/>
    </xf>
    <xf numFmtId="44" fontId="0" fillId="0" borderId="8" xfId="38" applyFont="1" applyFill="1" applyBorder="1" applyAlignment="1">
      <alignment vertical="center"/>
    </xf>
    <xf numFmtId="44" fontId="28" fillId="0" borderId="8" xfId="38" applyFont="1" applyBorder="1" applyAlignment="1">
      <alignment horizontal="center" vertical="center" wrapText="1"/>
    </xf>
    <xf numFmtId="44" fontId="28" fillId="0" borderId="8" xfId="38" applyFont="1" applyBorder="1" applyAlignment="1">
      <alignment horizontal="right" vertical="center"/>
    </xf>
    <xf numFmtId="44" fontId="29" fillId="0" borderId="8" xfId="38" applyFont="1" applyFill="1" applyBorder="1" applyAlignment="1">
      <alignment horizontal="right"/>
    </xf>
    <xf numFmtId="44" fontId="29" fillId="0" borderId="8" xfId="38" applyFont="1" applyBorder="1" applyAlignment="1">
      <alignment horizontal="right"/>
    </xf>
    <xf numFmtId="44" fontId="30" fillId="0" borderId="8" xfId="38" applyFont="1" applyFill="1" applyBorder="1" applyAlignment="1">
      <alignment horizontal="right"/>
    </xf>
    <xf numFmtId="44" fontId="28" fillId="0" borderId="8" xfId="38" applyFont="1" applyFill="1" applyBorder="1" applyAlignment="1">
      <alignment horizontal="right"/>
    </xf>
    <xf numFmtId="44" fontId="29" fillId="0" borderId="0" xfId="38" applyFont="1" applyFill="1" applyBorder="1" applyAlignment="1">
      <alignment horizontal="right"/>
    </xf>
    <xf numFmtId="44" fontId="29" fillId="0" borderId="0" xfId="38" applyFont="1" applyFill="1" applyAlignment="1">
      <alignment horizontal="right"/>
    </xf>
    <xf numFmtId="44" fontId="0" fillId="0" borderId="8" xfId="38" applyFont="1" applyBorder="1"/>
    <xf numFmtId="44" fontId="28" fillId="3" borderId="8" xfId="38" applyFont="1" applyFill="1" applyBorder="1" applyAlignment="1">
      <alignment horizontal="center" vertical="center" wrapText="1"/>
    </xf>
    <xf numFmtId="44" fontId="13" fillId="0" borderId="8" xfId="38" applyFont="1" applyFill="1" applyBorder="1" applyAlignment="1">
      <alignment horizontal="center"/>
    </xf>
    <xf numFmtId="44" fontId="29" fillId="0" borderId="8" xfId="38" applyFont="1" applyFill="1" applyBorder="1" applyAlignment="1">
      <alignment horizontal="center" vertical="center"/>
    </xf>
    <xf numFmtId="44" fontId="23" fillId="0" borderId="8" xfId="38" applyFont="1" applyFill="1" applyBorder="1" applyAlignment="1"/>
    <xf numFmtId="44" fontId="24" fillId="0" borderId="8" xfId="38" applyFont="1" applyFill="1" applyBorder="1" applyAlignment="1">
      <alignment wrapText="1"/>
    </xf>
    <xf numFmtId="44" fontId="24" fillId="0" borderId="8" xfId="38" applyFont="1" applyFill="1" applyBorder="1" applyAlignment="1">
      <alignment horizontal="right"/>
    </xf>
    <xf numFmtId="44" fontId="35" fillId="0" borderId="8" xfId="38" applyFont="1" applyBorder="1"/>
    <xf numFmtId="44" fontId="29" fillId="0" borderId="18" xfId="38" applyFont="1" applyFill="1" applyBorder="1" applyAlignment="1">
      <alignment horizontal="right"/>
    </xf>
    <xf numFmtId="44" fontId="28" fillId="0" borderId="18" xfId="38" applyFont="1" applyFill="1" applyBorder="1" applyAlignment="1">
      <alignment horizontal="center" vertical="center" wrapText="1"/>
    </xf>
    <xf numFmtId="44" fontId="28" fillId="0" borderId="18" xfId="38" applyFont="1" applyFill="1" applyBorder="1" applyAlignment="1">
      <alignment horizontal="right" vertical="center"/>
    </xf>
    <xf numFmtId="44" fontId="4" fillId="0" borderId="18" xfId="38" applyFont="1" applyFill="1" applyBorder="1" applyAlignment="1"/>
    <xf numFmtId="44" fontId="20" fillId="0" borderId="18" xfId="38" applyFont="1" applyFill="1" applyBorder="1"/>
    <xf numFmtId="44" fontId="29" fillId="0" borderId="18" xfId="38" applyFont="1" applyBorder="1"/>
    <xf numFmtId="44" fontId="0" fillId="0" borderId="18" xfId="38" applyFont="1" applyBorder="1"/>
    <xf numFmtId="44" fontId="7" fillId="0" borderId="5" xfId="38" applyFont="1" applyFill="1" applyBorder="1" applyAlignment="1">
      <alignment vertical="center"/>
    </xf>
    <xf numFmtId="44" fontId="29" fillId="0" borderId="5" xfId="38" applyFont="1" applyFill="1" applyBorder="1" applyAlignment="1">
      <alignment horizontal="right" vertical="center"/>
    </xf>
    <xf numFmtId="44" fontId="28" fillId="0" borderId="5" xfId="38" applyFont="1" applyFill="1" applyBorder="1" applyAlignment="1">
      <alignment vertical="center"/>
    </xf>
    <xf numFmtId="44" fontId="28" fillId="0" borderId="19" xfId="38" applyFont="1" applyFill="1" applyBorder="1" applyAlignment="1">
      <alignment vertical="center"/>
    </xf>
    <xf numFmtId="44" fontId="29" fillId="4" borderId="22" xfId="38" applyFont="1" applyFill="1" applyBorder="1" applyAlignment="1">
      <alignment horizontal="right"/>
    </xf>
    <xf numFmtId="44" fontId="2" fillId="4" borderId="22" xfId="38" applyFont="1" applyFill="1" applyBorder="1" applyAlignment="1">
      <alignment horizontal="right"/>
    </xf>
    <xf numFmtId="44" fontId="28" fillId="4" borderId="22" xfId="38" applyFont="1" applyFill="1" applyBorder="1" applyAlignment="1">
      <alignment horizontal="right"/>
    </xf>
    <xf numFmtId="44" fontId="28" fillId="4" borderId="19" xfId="38" applyFont="1" applyFill="1" applyBorder="1" applyAlignment="1">
      <alignment horizontal="right"/>
    </xf>
    <xf numFmtId="44" fontId="28" fillId="4" borderId="0" xfId="38" applyFont="1" applyFill="1" applyBorder="1" applyAlignment="1">
      <alignment horizontal="right"/>
    </xf>
    <xf numFmtId="44" fontId="41" fillId="4" borderId="9" xfId="38" applyFont="1" applyFill="1" applyBorder="1" applyAlignment="1">
      <alignment horizontal="right" vertical="center" wrapText="1"/>
    </xf>
    <xf numFmtId="44" fontId="41" fillId="4" borderId="9" xfId="38" applyFont="1" applyFill="1" applyBorder="1" applyAlignment="1">
      <alignment vertical="center" wrapText="1"/>
    </xf>
    <xf numFmtId="44" fontId="46" fillId="4" borderId="11" xfId="38" applyFont="1" applyFill="1" applyBorder="1" applyAlignment="1">
      <alignment horizontal="right" vertical="center"/>
    </xf>
    <xf numFmtId="44" fontId="48" fillId="4" borderId="11" xfId="38" applyFont="1" applyFill="1" applyBorder="1" applyAlignment="1">
      <alignment horizontal="right" vertical="center"/>
    </xf>
    <xf numFmtId="44" fontId="47" fillId="4" borderId="11" xfId="38" applyFont="1" applyFill="1" applyBorder="1" applyAlignment="1">
      <alignment horizontal="right" vertical="center"/>
    </xf>
    <xf numFmtId="44" fontId="28" fillId="4" borderId="11" xfId="38" applyFont="1" applyFill="1" applyBorder="1" applyAlignment="1">
      <alignment vertical="center"/>
    </xf>
    <xf numFmtId="44" fontId="46" fillId="4" borderId="8" xfId="38" applyFont="1" applyFill="1" applyBorder="1" applyAlignment="1">
      <alignment horizontal="right" vertical="center"/>
    </xf>
    <xf numFmtId="44" fontId="39" fillId="4" borderId="8" xfId="38" applyFont="1" applyFill="1" applyBorder="1" applyAlignment="1">
      <alignment vertical="center" wrapText="1"/>
    </xf>
    <xf numFmtId="44" fontId="28" fillId="4" borderId="25" xfId="38" applyFont="1" applyFill="1" applyBorder="1" applyAlignment="1">
      <alignment vertical="center"/>
    </xf>
    <xf numFmtId="44" fontId="29" fillId="4" borderId="11" xfId="38" applyFont="1" applyFill="1" applyBorder="1" applyAlignment="1">
      <alignment vertical="center"/>
    </xf>
    <xf numFmtId="44" fontId="29" fillId="4" borderId="25" xfId="38" applyFont="1" applyFill="1" applyBorder="1" applyAlignment="1">
      <alignment vertical="center"/>
    </xf>
    <xf numFmtId="44" fontId="29" fillId="0" borderId="0" xfId="38" applyFont="1" applyAlignment="1">
      <alignment vertical="center"/>
    </xf>
    <xf numFmtId="44" fontId="28" fillId="2" borderId="2" xfId="38" applyFont="1" applyFill="1" applyBorder="1" applyAlignment="1">
      <alignment horizontal="center" vertical="center" wrapText="1"/>
    </xf>
    <xf numFmtId="44" fontId="29" fillId="0" borderId="3" xfId="38" applyFont="1" applyFill="1" applyBorder="1" applyAlignment="1"/>
    <xf numFmtId="44" fontId="29" fillId="0" borderId="3" xfId="38" applyFont="1" applyBorder="1"/>
    <xf numFmtId="44" fontId="32" fillId="0" borderId="3" xfId="38" applyFont="1" applyBorder="1"/>
    <xf numFmtId="44" fontId="29" fillId="0" borderId="3" xfId="38" applyFont="1" applyBorder="1" applyAlignment="1">
      <alignment horizontal="left" indent="1"/>
    </xf>
    <xf numFmtId="44" fontId="28" fillId="0" borderId="3" xfId="38" applyFont="1" applyBorder="1"/>
    <xf numFmtId="44" fontId="29" fillId="0" borderId="0" xfId="38" applyFont="1" applyBorder="1"/>
    <xf numFmtId="0" fontId="29" fillId="4" borderId="25" xfId="0" applyFont="1" applyFill="1" applyBorder="1" applyAlignment="1">
      <alignment horizontal="center"/>
    </xf>
    <xf numFmtId="0" fontId="29" fillId="4" borderId="25" xfId="0" applyFont="1" applyFill="1" applyBorder="1" applyAlignment="1">
      <alignment wrapText="1"/>
    </xf>
    <xf numFmtId="0" fontId="29" fillId="4" borderId="25" xfId="0" applyFont="1" applyFill="1" applyBorder="1" applyAlignment="1">
      <alignment horizontal="center" vertical="center"/>
    </xf>
    <xf numFmtId="44" fontId="29" fillId="4" borderId="25" xfId="38" applyFont="1" applyFill="1" applyBorder="1" applyAlignment="1">
      <alignment horizontal="center" vertical="center"/>
    </xf>
    <xf numFmtId="2" fontId="29" fillId="0" borderId="25" xfId="0" applyNumberFormat="1" applyFont="1" applyFill="1" applyBorder="1" applyAlignment="1">
      <alignment horizontal="center"/>
    </xf>
    <xf numFmtId="0" fontId="29" fillId="0" borderId="19" xfId="39" applyFont="1" applyBorder="1" applyAlignment="1">
      <alignment horizontal="left" vertical="center" wrapText="1"/>
    </xf>
    <xf numFmtId="0" fontId="29" fillId="0" borderId="25" xfId="0" applyFont="1" applyFill="1" applyBorder="1" applyAlignment="1">
      <alignment horizontal="center" vertical="center"/>
    </xf>
    <xf numFmtId="3" fontId="29" fillId="0" borderId="25" xfId="13" quotePrefix="1" applyNumberFormat="1" applyFont="1" applyFill="1" applyBorder="1" applyAlignment="1">
      <alignment horizontal="center" vertical="center"/>
    </xf>
    <xf numFmtId="4" fontId="29" fillId="0" borderId="25" xfId="0" applyNumberFormat="1" applyFont="1" applyFill="1" applyBorder="1" applyAlignment="1">
      <alignment horizontal="center" vertical="center"/>
    </xf>
    <xf numFmtId="44" fontId="29" fillId="0" borderId="19" xfId="38" applyFont="1" applyFill="1" applyBorder="1" applyAlignment="1">
      <alignment horizontal="right" vertical="center" wrapText="1"/>
    </xf>
    <xf numFmtId="2" fontId="20" fillId="0" borderId="25" xfId="0" applyNumberFormat="1" applyFont="1" applyFill="1" applyBorder="1" applyAlignment="1">
      <alignment horizontal="center" vertical="center"/>
    </xf>
    <xf numFmtId="0" fontId="51" fillId="0" borderId="25" xfId="0" applyFont="1" applyFill="1" applyBorder="1" applyAlignment="1">
      <alignment horizontal="left" vertical="center" wrapText="1"/>
    </xf>
    <xf numFmtId="3" fontId="20" fillId="0" borderId="25" xfId="0" applyNumberFormat="1" applyFont="1" applyFill="1" applyBorder="1" applyAlignment="1">
      <alignment horizontal="center" vertical="center"/>
    </xf>
    <xf numFmtId="0" fontId="20" fillId="0" borderId="25" xfId="0" applyFont="1" applyFill="1" applyBorder="1" applyAlignment="1">
      <alignment horizontal="center" vertical="center"/>
    </xf>
    <xf numFmtId="44" fontId="52" fillId="0" borderId="25" xfId="38" applyFont="1" applyFill="1" applyBorder="1" applyAlignment="1">
      <alignment horizontal="right" vertical="center"/>
    </xf>
    <xf numFmtId="0" fontId="28" fillId="4" borderId="18" xfId="0" applyFont="1" applyFill="1" applyBorder="1" applyAlignment="1">
      <alignment horizontal="center" vertical="center" wrapText="1"/>
    </xf>
    <xf numFmtId="3" fontId="28" fillId="4" borderId="18" xfId="34" applyNumberFormat="1" applyFont="1" applyFill="1" applyBorder="1" applyAlignment="1">
      <alignment horizontal="center" vertical="center" wrapText="1"/>
    </xf>
    <xf numFmtId="165" fontId="28" fillId="4" borderId="18" xfId="34" applyNumberFormat="1" applyFont="1" applyFill="1" applyBorder="1" applyAlignment="1">
      <alignment horizontal="center" vertical="center" wrapText="1"/>
    </xf>
    <xf numFmtId="44" fontId="28" fillId="4" borderId="18" xfId="38" applyFont="1" applyFill="1" applyBorder="1" applyAlignment="1">
      <alignment horizontal="center" vertical="center" wrapText="1"/>
    </xf>
    <xf numFmtId="0" fontId="35" fillId="0" borderId="18" xfId="0" applyFont="1" applyFill="1" applyBorder="1" applyAlignment="1">
      <alignment wrapText="1"/>
    </xf>
    <xf numFmtId="0" fontId="17" fillId="0" borderId="27" xfId="11" applyFont="1" applyBorder="1" applyAlignment="1">
      <alignment horizontal="center"/>
    </xf>
    <xf numFmtId="0" fontId="67" fillId="0" borderId="0" xfId="0" applyFont="1" applyAlignment="1">
      <alignment vertical="center" wrapText="1"/>
    </xf>
    <xf numFmtId="0" fontId="17" fillId="0" borderId="4" xfId="11" applyFont="1" applyBorder="1" applyAlignment="1">
      <alignment horizontal="center"/>
    </xf>
    <xf numFmtId="0" fontId="0" fillId="0" borderId="0" xfId="0" applyAlignment="1">
      <alignment wrapText="1"/>
    </xf>
    <xf numFmtId="0" fontId="17" fillId="0" borderId="4" xfId="11" applyFont="1" applyBorder="1" applyAlignment="1">
      <alignment horizontal="left" indent="1"/>
    </xf>
    <xf numFmtId="0" fontId="68" fillId="0" borderId="0" xfId="0" applyFont="1" applyAlignment="1">
      <alignment vertical="center" wrapText="1"/>
    </xf>
    <xf numFmtId="0" fontId="17" fillId="0" borderId="3" xfId="11" applyFont="1" applyBorder="1" applyAlignment="1">
      <alignment horizontal="center"/>
    </xf>
    <xf numFmtId="0" fontId="68" fillId="0" borderId="28" xfId="0" applyFont="1" applyBorder="1" applyAlignment="1">
      <alignment vertical="center" wrapText="1"/>
    </xf>
    <xf numFmtId="0" fontId="69" fillId="0" borderId="28" xfId="0" applyFont="1" applyBorder="1" applyAlignment="1">
      <alignment vertical="center" wrapText="1"/>
    </xf>
    <xf numFmtId="0" fontId="69" fillId="0" borderId="0" xfId="0" applyFont="1" applyAlignment="1">
      <alignment vertical="center" wrapText="1"/>
    </xf>
    <xf numFmtId="43" fontId="18" fillId="0" borderId="29" xfId="4" applyFont="1" applyBorder="1"/>
    <xf numFmtId="2" fontId="17" fillId="0" borderId="3" xfId="11" applyNumberFormat="1" applyFont="1" applyBorder="1" applyAlignment="1">
      <alignment horizontal="center"/>
    </xf>
    <xf numFmtId="0" fontId="20" fillId="0" borderId="0" xfId="0" applyFont="1" applyAlignment="1">
      <alignment wrapText="1"/>
    </xf>
    <xf numFmtId="43" fontId="17" fillId="0" borderId="0" xfId="33" applyFont="1"/>
    <xf numFmtId="0" fontId="18" fillId="0" borderId="0" xfId="11" applyFont="1" applyAlignment="1">
      <alignment horizontal="left" wrapText="1"/>
    </xf>
    <xf numFmtId="0" fontId="17" fillId="0" borderId="0" xfId="11" applyFont="1" applyAlignment="1">
      <alignment horizontal="center" wrapText="1"/>
    </xf>
  </cellXfs>
  <cellStyles count="43">
    <cellStyle name="Comma" xfId="31" builtinId="3"/>
    <cellStyle name="Comma 2" xfId="1"/>
    <cellStyle name="Comma 2 2" xfId="17"/>
    <cellStyle name="Comma 2 4" xfId="34"/>
    <cellStyle name="Comma 2 5" xfId="33"/>
    <cellStyle name="Comma 3" xfId="2"/>
    <cellStyle name="Comma 4" xfId="3"/>
    <cellStyle name="Comma 5" xfId="4"/>
    <cellStyle name="Currency" xfId="38" builtinId="4"/>
    <cellStyle name="Currency 2" xfId="5"/>
    <cellStyle name="Currency 2 2" xfId="18"/>
    <cellStyle name="Currency 3" xfId="6"/>
    <cellStyle name="Currency 4" xfId="7"/>
    <cellStyle name="Normal" xfId="0" builtinId="0"/>
    <cellStyle name="Normal 10" xfId="19"/>
    <cellStyle name="Normal 11" xfId="20"/>
    <cellStyle name="Normal 12" xfId="8"/>
    <cellStyle name="Normal 13" xfId="21"/>
    <cellStyle name="Normal 14" xfId="27"/>
    <cellStyle name="Normal 2" xfId="9"/>
    <cellStyle name="Normal 2 2" xfId="10"/>
    <cellStyle name="Normal 2 2 2" xfId="16"/>
    <cellStyle name="Normal 2 2 3" xfId="29"/>
    <cellStyle name="Normal 3" xfId="11"/>
    <cellStyle name="Normal 4" xfId="12"/>
    <cellStyle name="Normal 4 2" xfId="30"/>
    <cellStyle name="Normal 4 2 2" xfId="41"/>
    <cellStyle name="Normal 4 3" xfId="40"/>
    <cellStyle name="Normal 5" xfId="22"/>
    <cellStyle name="Normal 6" xfId="23"/>
    <cellStyle name="Normal 6 2" xfId="32"/>
    <cellStyle name="Normal 6 2 2" xfId="42"/>
    <cellStyle name="Normal 7" xfId="24"/>
    <cellStyle name="Normal 8" xfId="25"/>
    <cellStyle name="Normal 9" xfId="26"/>
    <cellStyle name="Normal_Sheet1" xfId="39"/>
    <cellStyle name="Percent" xfId="13" builtinId="5"/>
    <cellStyle name="Percent 2" xfId="14"/>
    <cellStyle name="Percent 3" xfId="28"/>
    <cellStyle name="tahoma" xfId="15"/>
    <cellStyle name="tahoma 10 2" xfId="35"/>
    <cellStyle name="tahoma 15 2 2" xfId="36"/>
    <cellStyle name="tahoma 2 2" xfId="37"/>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M116"/>
  <sheetViews>
    <sheetView tabSelected="1" view="pageBreakPreview" topLeftCell="A87" zoomScaleNormal="75" zoomScaleSheetLayoutView="107" workbookViewId="0">
      <selection activeCell="B106" sqref="B106"/>
    </sheetView>
  </sheetViews>
  <sheetFormatPr defaultColWidth="3.5546875" defaultRowHeight="13.5" customHeight="1"/>
  <cols>
    <col min="1" max="1" width="5.88671875" style="5" bestFit="1" customWidth="1"/>
    <col min="2" max="2" width="85.6640625" style="1161" customWidth="1"/>
    <col min="3" max="3" width="13.44140625" style="3" bestFit="1" customWidth="1"/>
    <col min="4" max="5" width="9.109375" style="3" customWidth="1"/>
    <col min="6" max="6" width="11.6640625" style="3" bestFit="1" customWidth="1"/>
    <col min="7" max="244" width="9.109375" style="3" customWidth="1"/>
    <col min="245" max="246" width="1.33203125" style="3" customWidth="1"/>
    <col min="247" max="247" width="3.5546875" style="3"/>
    <col min="248" max="248" width="11.88671875" style="3" customWidth="1"/>
    <col min="249" max="249" width="12.44140625" style="3" customWidth="1"/>
    <col min="250" max="250" width="9" style="3" customWidth="1"/>
    <col min="251" max="251" width="7.44140625" style="3" customWidth="1"/>
    <col min="252" max="253" width="7.5546875" style="3" customWidth="1"/>
    <col min="254" max="254" width="15" style="3" customWidth="1"/>
    <col min="255" max="255" width="9.6640625" style="3" customWidth="1"/>
    <col min="256" max="256" width="14.5546875" style="3" customWidth="1"/>
    <col min="257" max="257" width="14.44140625" style="3" customWidth="1"/>
    <col min="258" max="258" width="19.88671875" style="3" customWidth="1"/>
    <col min="259" max="500" width="9.109375" style="3" customWidth="1"/>
    <col min="501" max="502" width="1.33203125" style="3" customWidth="1"/>
    <col min="503" max="503" width="3.5546875" style="3"/>
    <col min="504" max="504" width="11.88671875" style="3" customWidth="1"/>
    <col min="505" max="505" width="12.44140625" style="3" customWidth="1"/>
    <col min="506" max="506" width="9" style="3" customWidth="1"/>
    <col min="507" max="507" width="7.44140625" style="3" customWidth="1"/>
    <col min="508" max="509" width="7.5546875" style="3" customWidth="1"/>
    <col min="510" max="510" width="15" style="3" customWidth="1"/>
    <col min="511" max="511" width="9.6640625" style="3" customWidth="1"/>
    <col min="512" max="512" width="14.5546875" style="3" customWidth="1"/>
    <col min="513" max="513" width="14.44140625" style="3" customWidth="1"/>
    <col min="514" max="514" width="19.88671875" style="3" customWidth="1"/>
    <col min="515" max="756" width="9.109375" style="3" customWidth="1"/>
    <col min="757" max="758" width="1.33203125" style="3" customWidth="1"/>
    <col min="759" max="759" width="3.5546875" style="3"/>
    <col min="760" max="760" width="11.88671875" style="3" customWidth="1"/>
    <col min="761" max="761" width="12.44140625" style="3" customWidth="1"/>
    <col min="762" max="762" width="9" style="3" customWidth="1"/>
    <col min="763" max="763" width="7.44140625" style="3" customWidth="1"/>
    <col min="764" max="765" width="7.5546875" style="3" customWidth="1"/>
    <col min="766" max="766" width="15" style="3" customWidth="1"/>
    <col min="767" max="767" width="9.6640625" style="3" customWidth="1"/>
    <col min="768" max="768" width="14.5546875" style="3" customWidth="1"/>
    <col min="769" max="769" width="14.44140625" style="3" customWidth="1"/>
    <col min="770" max="770" width="19.88671875" style="3" customWidth="1"/>
    <col min="771" max="1012" width="9.109375" style="3" customWidth="1"/>
    <col min="1013" max="1014" width="1.33203125" style="3" customWidth="1"/>
    <col min="1015" max="1015" width="3.5546875" style="3"/>
    <col min="1016" max="1016" width="11.88671875" style="3" customWidth="1"/>
    <col min="1017" max="1017" width="12.44140625" style="3" customWidth="1"/>
    <col min="1018" max="1018" width="9" style="3" customWidth="1"/>
    <col min="1019" max="1019" width="7.44140625" style="3" customWidth="1"/>
    <col min="1020" max="1021" width="7.5546875" style="3" customWidth="1"/>
    <col min="1022" max="1022" width="15" style="3" customWidth="1"/>
    <col min="1023" max="1023" width="9.6640625" style="3" customWidth="1"/>
    <col min="1024" max="1024" width="14.5546875" style="3" customWidth="1"/>
    <col min="1025" max="1025" width="14.44140625" style="3" customWidth="1"/>
    <col min="1026" max="1026" width="19.88671875" style="3" customWidth="1"/>
    <col min="1027" max="1268" width="9.109375" style="3" customWidth="1"/>
    <col min="1269" max="1270" width="1.33203125" style="3" customWidth="1"/>
    <col min="1271" max="1271" width="3.5546875" style="3"/>
    <col min="1272" max="1272" width="11.88671875" style="3" customWidth="1"/>
    <col min="1273" max="1273" width="12.44140625" style="3" customWidth="1"/>
    <col min="1274" max="1274" width="9" style="3" customWidth="1"/>
    <col min="1275" max="1275" width="7.44140625" style="3" customWidth="1"/>
    <col min="1276" max="1277" width="7.5546875" style="3" customWidth="1"/>
    <col min="1278" max="1278" width="15" style="3" customWidth="1"/>
    <col min="1279" max="1279" width="9.6640625" style="3" customWidth="1"/>
    <col min="1280" max="1280" width="14.5546875" style="3" customWidth="1"/>
    <col min="1281" max="1281" width="14.44140625" style="3" customWidth="1"/>
    <col min="1282" max="1282" width="19.88671875" style="3" customWidth="1"/>
    <col min="1283" max="1524" width="9.109375" style="3" customWidth="1"/>
    <col min="1525" max="1526" width="1.33203125" style="3" customWidth="1"/>
    <col min="1527" max="1527" width="3.5546875" style="3"/>
    <col min="1528" max="1528" width="11.88671875" style="3" customWidth="1"/>
    <col min="1529" max="1529" width="12.44140625" style="3" customWidth="1"/>
    <col min="1530" max="1530" width="9" style="3" customWidth="1"/>
    <col min="1531" max="1531" width="7.44140625" style="3" customWidth="1"/>
    <col min="1532" max="1533" width="7.5546875" style="3" customWidth="1"/>
    <col min="1534" max="1534" width="15" style="3" customWidth="1"/>
    <col min="1535" max="1535" width="9.6640625" style="3" customWidth="1"/>
    <col min="1536" max="1536" width="14.5546875" style="3" customWidth="1"/>
    <col min="1537" max="1537" width="14.44140625" style="3" customWidth="1"/>
    <col min="1538" max="1538" width="19.88671875" style="3" customWidth="1"/>
    <col min="1539" max="1780" width="9.109375" style="3" customWidth="1"/>
    <col min="1781" max="1782" width="1.33203125" style="3" customWidth="1"/>
    <col min="1783" max="1783" width="3.5546875" style="3"/>
    <col min="1784" max="1784" width="11.88671875" style="3" customWidth="1"/>
    <col min="1785" max="1785" width="12.44140625" style="3" customWidth="1"/>
    <col min="1786" max="1786" width="9" style="3" customWidth="1"/>
    <col min="1787" max="1787" width="7.44140625" style="3" customWidth="1"/>
    <col min="1788" max="1789" width="7.5546875" style="3" customWidth="1"/>
    <col min="1790" max="1790" width="15" style="3" customWidth="1"/>
    <col min="1791" max="1791" width="9.6640625" style="3" customWidth="1"/>
    <col min="1792" max="1792" width="14.5546875" style="3" customWidth="1"/>
    <col min="1793" max="1793" width="14.44140625" style="3" customWidth="1"/>
    <col min="1794" max="1794" width="19.88671875" style="3" customWidth="1"/>
    <col min="1795" max="2036" width="9.109375" style="3" customWidth="1"/>
    <col min="2037" max="2038" width="1.33203125" style="3" customWidth="1"/>
    <col min="2039" max="2039" width="3.5546875" style="3"/>
    <col min="2040" max="2040" width="11.88671875" style="3" customWidth="1"/>
    <col min="2041" max="2041" width="12.44140625" style="3" customWidth="1"/>
    <col min="2042" max="2042" width="9" style="3" customWidth="1"/>
    <col min="2043" max="2043" width="7.44140625" style="3" customWidth="1"/>
    <col min="2044" max="2045" width="7.5546875" style="3" customWidth="1"/>
    <col min="2046" max="2046" width="15" style="3" customWidth="1"/>
    <col min="2047" max="2047" width="9.6640625" style="3" customWidth="1"/>
    <col min="2048" max="2048" width="14.5546875" style="3" customWidth="1"/>
    <col min="2049" max="2049" width="14.44140625" style="3" customWidth="1"/>
    <col min="2050" max="2050" width="19.88671875" style="3" customWidth="1"/>
    <col min="2051" max="2292" width="9.109375" style="3" customWidth="1"/>
    <col min="2293" max="2294" width="1.33203125" style="3" customWidth="1"/>
    <col min="2295" max="2295" width="3.5546875" style="3"/>
    <col min="2296" max="2296" width="11.88671875" style="3" customWidth="1"/>
    <col min="2297" max="2297" width="12.44140625" style="3" customWidth="1"/>
    <col min="2298" max="2298" width="9" style="3" customWidth="1"/>
    <col min="2299" max="2299" width="7.44140625" style="3" customWidth="1"/>
    <col min="2300" max="2301" width="7.5546875" style="3" customWidth="1"/>
    <col min="2302" max="2302" width="15" style="3" customWidth="1"/>
    <col min="2303" max="2303" width="9.6640625" style="3" customWidth="1"/>
    <col min="2304" max="2304" width="14.5546875" style="3" customWidth="1"/>
    <col min="2305" max="2305" width="14.44140625" style="3" customWidth="1"/>
    <col min="2306" max="2306" width="19.88671875" style="3" customWidth="1"/>
    <col min="2307" max="2548" width="9.109375" style="3" customWidth="1"/>
    <col min="2549" max="2550" width="1.33203125" style="3" customWidth="1"/>
    <col min="2551" max="2551" width="3.5546875" style="3"/>
    <col min="2552" max="2552" width="11.88671875" style="3" customWidth="1"/>
    <col min="2553" max="2553" width="12.44140625" style="3" customWidth="1"/>
    <col min="2554" max="2554" width="9" style="3" customWidth="1"/>
    <col min="2555" max="2555" width="7.44140625" style="3" customWidth="1"/>
    <col min="2556" max="2557" width="7.5546875" style="3" customWidth="1"/>
    <col min="2558" max="2558" width="15" style="3" customWidth="1"/>
    <col min="2559" max="2559" width="9.6640625" style="3" customWidth="1"/>
    <col min="2560" max="2560" width="14.5546875" style="3" customWidth="1"/>
    <col min="2561" max="2561" width="14.44140625" style="3" customWidth="1"/>
    <col min="2562" max="2562" width="19.88671875" style="3" customWidth="1"/>
    <col min="2563" max="2804" width="9.109375" style="3" customWidth="1"/>
    <col min="2805" max="2806" width="1.33203125" style="3" customWidth="1"/>
    <col min="2807" max="2807" width="3.5546875" style="3"/>
    <col min="2808" max="2808" width="11.88671875" style="3" customWidth="1"/>
    <col min="2809" max="2809" width="12.44140625" style="3" customWidth="1"/>
    <col min="2810" max="2810" width="9" style="3" customWidth="1"/>
    <col min="2811" max="2811" width="7.44140625" style="3" customWidth="1"/>
    <col min="2812" max="2813" width="7.5546875" style="3" customWidth="1"/>
    <col min="2814" max="2814" width="15" style="3" customWidth="1"/>
    <col min="2815" max="2815" width="9.6640625" style="3" customWidth="1"/>
    <col min="2816" max="2816" width="14.5546875" style="3" customWidth="1"/>
    <col min="2817" max="2817" width="14.44140625" style="3" customWidth="1"/>
    <col min="2818" max="2818" width="19.88671875" style="3" customWidth="1"/>
    <col min="2819" max="3060" width="9.109375" style="3" customWidth="1"/>
    <col min="3061" max="3062" width="1.33203125" style="3" customWidth="1"/>
    <col min="3063" max="3063" width="3.5546875" style="3"/>
    <col min="3064" max="3064" width="11.88671875" style="3" customWidth="1"/>
    <col min="3065" max="3065" width="12.44140625" style="3" customWidth="1"/>
    <col min="3066" max="3066" width="9" style="3" customWidth="1"/>
    <col min="3067" max="3067" width="7.44140625" style="3" customWidth="1"/>
    <col min="3068" max="3069" width="7.5546875" style="3" customWidth="1"/>
    <col min="3070" max="3070" width="15" style="3" customWidth="1"/>
    <col min="3071" max="3071" width="9.6640625" style="3" customWidth="1"/>
    <col min="3072" max="3072" width="14.5546875" style="3" customWidth="1"/>
    <col min="3073" max="3073" width="14.44140625" style="3" customWidth="1"/>
    <col min="3074" max="3074" width="19.88671875" style="3" customWidth="1"/>
    <col min="3075" max="3316" width="9.109375" style="3" customWidth="1"/>
    <col min="3317" max="3318" width="1.33203125" style="3" customWidth="1"/>
    <col min="3319" max="3319" width="3.5546875" style="3"/>
    <col min="3320" max="3320" width="11.88671875" style="3" customWidth="1"/>
    <col min="3321" max="3321" width="12.44140625" style="3" customWidth="1"/>
    <col min="3322" max="3322" width="9" style="3" customWidth="1"/>
    <col min="3323" max="3323" width="7.44140625" style="3" customWidth="1"/>
    <col min="3324" max="3325" width="7.5546875" style="3" customWidth="1"/>
    <col min="3326" max="3326" width="15" style="3" customWidth="1"/>
    <col min="3327" max="3327" width="9.6640625" style="3" customWidth="1"/>
    <col min="3328" max="3328" width="14.5546875" style="3" customWidth="1"/>
    <col min="3329" max="3329" width="14.44140625" style="3" customWidth="1"/>
    <col min="3330" max="3330" width="19.88671875" style="3" customWidth="1"/>
    <col min="3331" max="3572" width="9.109375" style="3" customWidth="1"/>
    <col min="3573" max="3574" width="1.33203125" style="3" customWidth="1"/>
    <col min="3575" max="3575" width="3.5546875" style="3"/>
    <col min="3576" max="3576" width="11.88671875" style="3" customWidth="1"/>
    <col min="3577" max="3577" width="12.44140625" style="3" customWidth="1"/>
    <col min="3578" max="3578" width="9" style="3" customWidth="1"/>
    <col min="3579" max="3579" width="7.44140625" style="3" customWidth="1"/>
    <col min="3580" max="3581" width="7.5546875" style="3" customWidth="1"/>
    <col min="3582" max="3582" width="15" style="3" customWidth="1"/>
    <col min="3583" max="3583" width="9.6640625" style="3" customWidth="1"/>
    <col min="3584" max="3584" width="14.5546875" style="3" customWidth="1"/>
    <col min="3585" max="3585" width="14.44140625" style="3" customWidth="1"/>
    <col min="3586" max="3586" width="19.88671875" style="3" customWidth="1"/>
    <col min="3587" max="3828" width="9.109375" style="3" customWidth="1"/>
    <col min="3829" max="3830" width="1.33203125" style="3" customWidth="1"/>
    <col min="3831" max="3831" width="3.5546875" style="3"/>
    <col min="3832" max="3832" width="11.88671875" style="3" customWidth="1"/>
    <col min="3833" max="3833" width="12.44140625" style="3" customWidth="1"/>
    <col min="3834" max="3834" width="9" style="3" customWidth="1"/>
    <col min="3835" max="3835" width="7.44140625" style="3" customWidth="1"/>
    <col min="3836" max="3837" width="7.5546875" style="3" customWidth="1"/>
    <col min="3838" max="3838" width="15" style="3" customWidth="1"/>
    <col min="3839" max="3839" width="9.6640625" style="3" customWidth="1"/>
    <col min="3840" max="3840" width="14.5546875" style="3" customWidth="1"/>
    <col min="3841" max="3841" width="14.44140625" style="3" customWidth="1"/>
    <col min="3842" max="3842" width="19.88671875" style="3" customWidth="1"/>
    <col min="3843" max="4084" width="9.109375" style="3" customWidth="1"/>
    <col min="4085" max="4086" width="1.33203125" style="3" customWidth="1"/>
    <col min="4087" max="4087" width="3.5546875" style="3"/>
    <col min="4088" max="4088" width="11.88671875" style="3" customWidth="1"/>
    <col min="4089" max="4089" width="12.44140625" style="3" customWidth="1"/>
    <col min="4090" max="4090" width="9" style="3" customWidth="1"/>
    <col min="4091" max="4091" width="7.44140625" style="3" customWidth="1"/>
    <col min="4092" max="4093" width="7.5546875" style="3" customWidth="1"/>
    <col min="4094" max="4094" width="15" style="3" customWidth="1"/>
    <col min="4095" max="4095" width="9.6640625" style="3" customWidth="1"/>
    <col min="4096" max="4096" width="14.5546875" style="3" customWidth="1"/>
    <col min="4097" max="4097" width="14.44140625" style="3" customWidth="1"/>
    <col min="4098" max="4098" width="19.88671875" style="3" customWidth="1"/>
    <col min="4099" max="4340" width="9.109375" style="3" customWidth="1"/>
    <col min="4341" max="4342" width="1.33203125" style="3" customWidth="1"/>
    <col min="4343" max="4343" width="3.5546875" style="3"/>
    <col min="4344" max="4344" width="11.88671875" style="3" customWidth="1"/>
    <col min="4345" max="4345" width="12.44140625" style="3" customWidth="1"/>
    <col min="4346" max="4346" width="9" style="3" customWidth="1"/>
    <col min="4347" max="4347" width="7.44140625" style="3" customWidth="1"/>
    <col min="4348" max="4349" width="7.5546875" style="3" customWidth="1"/>
    <col min="4350" max="4350" width="15" style="3" customWidth="1"/>
    <col min="4351" max="4351" width="9.6640625" style="3" customWidth="1"/>
    <col min="4352" max="4352" width="14.5546875" style="3" customWidth="1"/>
    <col min="4353" max="4353" width="14.44140625" style="3" customWidth="1"/>
    <col min="4354" max="4354" width="19.88671875" style="3" customWidth="1"/>
    <col min="4355" max="4596" width="9.109375" style="3" customWidth="1"/>
    <col min="4597" max="4598" width="1.33203125" style="3" customWidth="1"/>
    <col min="4599" max="4599" width="3.5546875" style="3"/>
    <col min="4600" max="4600" width="11.88671875" style="3" customWidth="1"/>
    <col min="4601" max="4601" width="12.44140625" style="3" customWidth="1"/>
    <col min="4602" max="4602" width="9" style="3" customWidth="1"/>
    <col min="4603" max="4603" width="7.44140625" style="3" customWidth="1"/>
    <col min="4604" max="4605" width="7.5546875" style="3" customWidth="1"/>
    <col min="4606" max="4606" width="15" style="3" customWidth="1"/>
    <col min="4607" max="4607" width="9.6640625" style="3" customWidth="1"/>
    <col min="4608" max="4608" width="14.5546875" style="3" customWidth="1"/>
    <col min="4609" max="4609" width="14.44140625" style="3" customWidth="1"/>
    <col min="4610" max="4610" width="19.88671875" style="3" customWidth="1"/>
    <col min="4611" max="4852" width="9.109375" style="3" customWidth="1"/>
    <col min="4853" max="4854" width="1.33203125" style="3" customWidth="1"/>
    <col min="4855" max="4855" width="3.5546875" style="3"/>
    <col min="4856" max="4856" width="11.88671875" style="3" customWidth="1"/>
    <col min="4857" max="4857" width="12.44140625" style="3" customWidth="1"/>
    <col min="4858" max="4858" width="9" style="3" customWidth="1"/>
    <col min="4859" max="4859" width="7.44140625" style="3" customWidth="1"/>
    <col min="4860" max="4861" width="7.5546875" style="3" customWidth="1"/>
    <col min="4862" max="4862" width="15" style="3" customWidth="1"/>
    <col min="4863" max="4863" width="9.6640625" style="3" customWidth="1"/>
    <col min="4864" max="4864" width="14.5546875" style="3" customWidth="1"/>
    <col min="4865" max="4865" width="14.44140625" style="3" customWidth="1"/>
    <col min="4866" max="4866" width="19.88671875" style="3" customWidth="1"/>
    <col min="4867" max="5108" width="9.109375" style="3" customWidth="1"/>
    <col min="5109" max="5110" width="1.33203125" style="3" customWidth="1"/>
    <col min="5111" max="5111" width="3.5546875" style="3"/>
    <col min="5112" max="5112" width="11.88671875" style="3" customWidth="1"/>
    <col min="5113" max="5113" width="12.44140625" style="3" customWidth="1"/>
    <col min="5114" max="5114" width="9" style="3" customWidth="1"/>
    <col min="5115" max="5115" width="7.44140625" style="3" customWidth="1"/>
    <col min="5116" max="5117" width="7.5546875" style="3" customWidth="1"/>
    <col min="5118" max="5118" width="15" style="3" customWidth="1"/>
    <col min="5119" max="5119" width="9.6640625" style="3" customWidth="1"/>
    <col min="5120" max="5120" width="14.5546875" style="3" customWidth="1"/>
    <col min="5121" max="5121" width="14.44140625" style="3" customWidth="1"/>
    <col min="5122" max="5122" width="19.88671875" style="3" customWidth="1"/>
    <col min="5123" max="5364" width="9.109375" style="3" customWidth="1"/>
    <col min="5365" max="5366" width="1.33203125" style="3" customWidth="1"/>
    <col min="5367" max="5367" width="3.5546875" style="3"/>
    <col min="5368" max="5368" width="11.88671875" style="3" customWidth="1"/>
    <col min="5369" max="5369" width="12.44140625" style="3" customWidth="1"/>
    <col min="5370" max="5370" width="9" style="3" customWidth="1"/>
    <col min="5371" max="5371" width="7.44140625" style="3" customWidth="1"/>
    <col min="5372" max="5373" width="7.5546875" style="3" customWidth="1"/>
    <col min="5374" max="5374" width="15" style="3" customWidth="1"/>
    <col min="5375" max="5375" width="9.6640625" style="3" customWidth="1"/>
    <col min="5376" max="5376" width="14.5546875" style="3" customWidth="1"/>
    <col min="5377" max="5377" width="14.44140625" style="3" customWidth="1"/>
    <col min="5378" max="5378" width="19.88671875" style="3" customWidth="1"/>
    <col min="5379" max="5620" width="9.109375" style="3" customWidth="1"/>
    <col min="5621" max="5622" width="1.33203125" style="3" customWidth="1"/>
    <col min="5623" max="5623" width="3.5546875" style="3"/>
    <col min="5624" max="5624" width="11.88671875" style="3" customWidth="1"/>
    <col min="5625" max="5625" width="12.44140625" style="3" customWidth="1"/>
    <col min="5626" max="5626" width="9" style="3" customWidth="1"/>
    <col min="5627" max="5627" width="7.44140625" style="3" customWidth="1"/>
    <col min="5628" max="5629" width="7.5546875" style="3" customWidth="1"/>
    <col min="5630" max="5630" width="15" style="3" customWidth="1"/>
    <col min="5631" max="5631" width="9.6640625" style="3" customWidth="1"/>
    <col min="5632" max="5632" width="14.5546875" style="3" customWidth="1"/>
    <col min="5633" max="5633" width="14.44140625" style="3" customWidth="1"/>
    <col min="5634" max="5634" width="19.88671875" style="3" customWidth="1"/>
    <col min="5635" max="5876" width="9.109375" style="3" customWidth="1"/>
    <col min="5877" max="5878" width="1.33203125" style="3" customWidth="1"/>
    <col min="5879" max="5879" width="3.5546875" style="3"/>
    <col min="5880" max="5880" width="11.88671875" style="3" customWidth="1"/>
    <col min="5881" max="5881" width="12.44140625" style="3" customWidth="1"/>
    <col min="5882" max="5882" width="9" style="3" customWidth="1"/>
    <col min="5883" max="5883" width="7.44140625" style="3" customWidth="1"/>
    <col min="5884" max="5885" width="7.5546875" style="3" customWidth="1"/>
    <col min="5886" max="5886" width="15" style="3" customWidth="1"/>
    <col min="5887" max="5887" width="9.6640625" style="3" customWidth="1"/>
    <col min="5888" max="5888" width="14.5546875" style="3" customWidth="1"/>
    <col min="5889" max="5889" width="14.44140625" style="3" customWidth="1"/>
    <col min="5890" max="5890" width="19.88671875" style="3" customWidth="1"/>
    <col min="5891" max="6132" width="9.109375" style="3" customWidth="1"/>
    <col min="6133" max="6134" width="1.33203125" style="3" customWidth="1"/>
    <col min="6135" max="6135" width="3.5546875" style="3"/>
    <col min="6136" max="6136" width="11.88671875" style="3" customWidth="1"/>
    <col min="6137" max="6137" width="12.44140625" style="3" customWidth="1"/>
    <col min="6138" max="6138" width="9" style="3" customWidth="1"/>
    <col min="6139" max="6139" width="7.44140625" style="3" customWidth="1"/>
    <col min="6140" max="6141" width="7.5546875" style="3" customWidth="1"/>
    <col min="6142" max="6142" width="15" style="3" customWidth="1"/>
    <col min="6143" max="6143" width="9.6640625" style="3" customWidth="1"/>
    <col min="6144" max="6144" width="14.5546875" style="3" customWidth="1"/>
    <col min="6145" max="6145" width="14.44140625" style="3" customWidth="1"/>
    <col min="6146" max="6146" width="19.88671875" style="3" customWidth="1"/>
    <col min="6147" max="6388" width="9.109375" style="3" customWidth="1"/>
    <col min="6389" max="6390" width="1.33203125" style="3" customWidth="1"/>
    <col min="6391" max="6391" width="3.5546875" style="3"/>
    <col min="6392" max="6392" width="11.88671875" style="3" customWidth="1"/>
    <col min="6393" max="6393" width="12.44140625" style="3" customWidth="1"/>
    <col min="6394" max="6394" width="9" style="3" customWidth="1"/>
    <col min="6395" max="6395" width="7.44140625" style="3" customWidth="1"/>
    <col min="6396" max="6397" width="7.5546875" style="3" customWidth="1"/>
    <col min="6398" max="6398" width="15" style="3" customWidth="1"/>
    <col min="6399" max="6399" width="9.6640625" style="3" customWidth="1"/>
    <col min="6400" max="6400" width="14.5546875" style="3" customWidth="1"/>
    <col min="6401" max="6401" width="14.44140625" style="3" customWidth="1"/>
    <col min="6402" max="6402" width="19.88671875" style="3" customWidth="1"/>
    <col min="6403" max="6644" width="9.109375" style="3" customWidth="1"/>
    <col min="6645" max="6646" width="1.33203125" style="3" customWidth="1"/>
    <col min="6647" max="6647" width="3.5546875" style="3"/>
    <col min="6648" max="6648" width="11.88671875" style="3" customWidth="1"/>
    <col min="6649" max="6649" width="12.44140625" style="3" customWidth="1"/>
    <col min="6650" max="6650" width="9" style="3" customWidth="1"/>
    <col min="6651" max="6651" width="7.44140625" style="3" customWidth="1"/>
    <col min="6652" max="6653" width="7.5546875" style="3" customWidth="1"/>
    <col min="6654" max="6654" width="15" style="3" customWidth="1"/>
    <col min="6655" max="6655" width="9.6640625" style="3" customWidth="1"/>
    <col min="6656" max="6656" width="14.5546875" style="3" customWidth="1"/>
    <col min="6657" max="6657" width="14.44140625" style="3" customWidth="1"/>
    <col min="6658" max="6658" width="19.88671875" style="3" customWidth="1"/>
    <col min="6659" max="6900" width="9.109375" style="3" customWidth="1"/>
    <col min="6901" max="6902" width="1.33203125" style="3" customWidth="1"/>
    <col min="6903" max="6903" width="3.5546875" style="3"/>
    <col min="6904" max="6904" width="11.88671875" style="3" customWidth="1"/>
    <col min="6905" max="6905" width="12.44140625" style="3" customWidth="1"/>
    <col min="6906" max="6906" width="9" style="3" customWidth="1"/>
    <col min="6907" max="6907" width="7.44140625" style="3" customWidth="1"/>
    <col min="6908" max="6909" width="7.5546875" style="3" customWidth="1"/>
    <col min="6910" max="6910" width="15" style="3" customWidth="1"/>
    <col min="6911" max="6911" width="9.6640625" style="3" customWidth="1"/>
    <col min="6912" max="6912" width="14.5546875" style="3" customWidth="1"/>
    <col min="6913" max="6913" width="14.44140625" style="3" customWidth="1"/>
    <col min="6914" max="6914" width="19.88671875" style="3" customWidth="1"/>
    <col min="6915" max="7156" width="9.109375" style="3" customWidth="1"/>
    <col min="7157" max="7158" width="1.33203125" style="3" customWidth="1"/>
    <col min="7159" max="7159" width="3.5546875" style="3"/>
    <col min="7160" max="7160" width="11.88671875" style="3" customWidth="1"/>
    <col min="7161" max="7161" width="12.44140625" style="3" customWidth="1"/>
    <col min="7162" max="7162" width="9" style="3" customWidth="1"/>
    <col min="7163" max="7163" width="7.44140625" style="3" customWidth="1"/>
    <col min="7164" max="7165" width="7.5546875" style="3" customWidth="1"/>
    <col min="7166" max="7166" width="15" style="3" customWidth="1"/>
    <col min="7167" max="7167" width="9.6640625" style="3" customWidth="1"/>
    <col min="7168" max="7168" width="14.5546875" style="3" customWidth="1"/>
    <col min="7169" max="7169" width="14.44140625" style="3" customWidth="1"/>
    <col min="7170" max="7170" width="19.88671875" style="3" customWidth="1"/>
    <col min="7171" max="7412" width="9.109375" style="3" customWidth="1"/>
    <col min="7413" max="7414" width="1.33203125" style="3" customWidth="1"/>
    <col min="7415" max="7415" width="3.5546875" style="3"/>
    <col min="7416" max="7416" width="11.88671875" style="3" customWidth="1"/>
    <col min="7417" max="7417" width="12.44140625" style="3" customWidth="1"/>
    <col min="7418" max="7418" width="9" style="3" customWidth="1"/>
    <col min="7419" max="7419" width="7.44140625" style="3" customWidth="1"/>
    <col min="7420" max="7421" width="7.5546875" style="3" customWidth="1"/>
    <col min="7422" max="7422" width="15" style="3" customWidth="1"/>
    <col min="7423" max="7423" width="9.6640625" style="3" customWidth="1"/>
    <col min="7424" max="7424" width="14.5546875" style="3" customWidth="1"/>
    <col min="7425" max="7425" width="14.44140625" style="3" customWidth="1"/>
    <col min="7426" max="7426" width="19.88671875" style="3" customWidth="1"/>
    <col min="7427" max="7668" width="9.109375" style="3" customWidth="1"/>
    <col min="7669" max="7670" width="1.33203125" style="3" customWidth="1"/>
    <col min="7671" max="7671" width="3.5546875" style="3"/>
    <col min="7672" max="7672" width="11.88671875" style="3" customWidth="1"/>
    <col min="7673" max="7673" width="12.44140625" style="3" customWidth="1"/>
    <col min="7674" max="7674" width="9" style="3" customWidth="1"/>
    <col min="7675" max="7675" width="7.44140625" style="3" customWidth="1"/>
    <col min="7676" max="7677" width="7.5546875" style="3" customWidth="1"/>
    <col min="7678" max="7678" width="15" style="3" customWidth="1"/>
    <col min="7679" max="7679" width="9.6640625" style="3" customWidth="1"/>
    <col min="7680" max="7680" width="14.5546875" style="3" customWidth="1"/>
    <col min="7681" max="7681" width="14.44140625" style="3" customWidth="1"/>
    <col min="7682" max="7682" width="19.88671875" style="3" customWidth="1"/>
    <col min="7683" max="7924" width="9.109375" style="3" customWidth="1"/>
    <col min="7925" max="7926" width="1.33203125" style="3" customWidth="1"/>
    <col min="7927" max="7927" width="3.5546875" style="3"/>
    <col min="7928" max="7928" width="11.88671875" style="3" customWidth="1"/>
    <col min="7929" max="7929" width="12.44140625" style="3" customWidth="1"/>
    <col min="7930" max="7930" width="9" style="3" customWidth="1"/>
    <col min="7931" max="7931" width="7.44140625" style="3" customWidth="1"/>
    <col min="7932" max="7933" width="7.5546875" style="3" customWidth="1"/>
    <col min="7934" max="7934" width="15" style="3" customWidth="1"/>
    <col min="7935" max="7935" width="9.6640625" style="3" customWidth="1"/>
    <col min="7936" max="7936" width="14.5546875" style="3" customWidth="1"/>
    <col min="7937" max="7937" width="14.44140625" style="3" customWidth="1"/>
    <col min="7938" max="7938" width="19.88671875" style="3" customWidth="1"/>
    <col min="7939" max="8180" width="9.109375" style="3" customWidth="1"/>
    <col min="8181" max="8182" width="1.33203125" style="3" customWidth="1"/>
    <col min="8183" max="8183" width="3.5546875" style="3"/>
    <col min="8184" max="8184" width="11.88671875" style="3" customWidth="1"/>
    <col min="8185" max="8185" width="12.44140625" style="3" customWidth="1"/>
    <col min="8186" max="8186" width="9" style="3" customWidth="1"/>
    <col min="8187" max="8187" width="7.44140625" style="3" customWidth="1"/>
    <col min="8188" max="8189" width="7.5546875" style="3" customWidth="1"/>
    <col min="8190" max="8190" width="15" style="3" customWidth="1"/>
    <col min="8191" max="8191" width="9.6640625" style="3" customWidth="1"/>
    <col min="8192" max="8192" width="14.5546875" style="3" customWidth="1"/>
    <col min="8193" max="8193" width="14.44140625" style="3" customWidth="1"/>
    <col min="8194" max="8194" width="19.88671875" style="3" customWidth="1"/>
    <col min="8195" max="8436" width="9.109375" style="3" customWidth="1"/>
    <col min="8437" max="8438" width="1.33203125" style="3" customWidth="1"/>
    <col min="8439" max="8439" width="3.5546875" style="3"/>
    <col min="8440" max="8440" width="11.88671875" style="3" customWidth="1"/>
    <col min="8441" max="8441" width="12.44140625" style="3" customWidth="1"/>
    <col min="8442" max="8442" width="9" style="3" customWidth="1"/>
    <col min="8443" max="8443" width="7.44140625" style="3" customWidth="1"/>
    <col min="8444" max="8445" width="7.5546875" style="3" customWidth="1"/>
    <col min="8446" max="8446" width="15" style="3" customWidth="1"/>
    <col min="8447" max="8447" width="9.6640625" style="3" customWidth="1"/>
    <col min="8448" max="8448" width="14.5546875" style="3" customWidth="1"/>
    <col min="8449" max="8449" width="14.44140625" style="3" customWidth="1"/>
    <col min="8450" max="8450" width="19.88671875" style="3" customWidth="1"/>
    <col min="8451" max="8692" width="9.109375" style="3" customWidth="1"/>
    <col min="8693" max="8694" width="1.33203125" style="3" customWidth="1"/>
    <col min="8695" max="8695" width="3.5546875" style="3"/>
    <col min="8696" max="8696" width="11.88671875" style="3" customWidth="1"/>
    <col min="8697" max="8697" width="12.44140625" style="3" customWidth="1"/>
    <col min="8698" max="8698" width="9" style="3" customWidth="1"/>
    <col min="8699" max="8699" width="7.44140625" style="3" customWidth="1"/>
    <col min="8700" max="8701" width="7.5546875" style="3" customWidth="1"/>
    <col min="8702" max="8702" width="15" style="3" customWidth="1"/>
    <col min="8703" max="8703" width="9.6640625" style="3" customWidth="1"/>
    <col min="8704" max="8704" width="14.5546875" style="3" customWidth="1"/>
    <col min="8705" max="8705" width="14.44140625" style="3" customWidth="1"/>
    <col min="8706" max="8706" width="19.88671875" style="3" customWidth="1"/>
    <col min="8707" max="8948" width="9.109375" style="3" customWidth="1"/>
    <col min="8949" max="8950" width="1.33203125" style="3" customWidth="1"/>
    <col min="8951" max="8951" width="3.5546875" style="3"/>
    <col min="8952" max="8952" width="11.88671875" style="3" customWidth="1"/>
    <col min="8953" max="8953" width="12.44140625" style="3" customWidth="1"/>
    <col min="8954" max="8954" width="9" style="3" customWidth="1"/>
    <col min="8955" max="8955" width="7.44140625" style="3" customWidth="1"/>
    <col min="8956" max="8957" width="7.5546875" style="3" customWidth="1"/>
    <col min="8958" max="8958" width="15" style="3" customWidth="1"/>
    <col min="8959" max="8959" width="9.6640625" style="3" customWidth="1"/>
    <col min="8960" max="8960" width="14.5546875" style="3" customWidth="1"/>
    <col min="8961" max="8961" width="14.44140625" style="3" customWidth="1"/>
    <col min="8962" max="8962" width="19.88671875" style="3" customWidth="1"/>
    <col min="8963" max="9204" width="9.109375" style="3" customWidth="1"/>
    <col min="9205" max="9206" width="1.33203125" style="3" customWidth="1"/>
    <col min="9207" max="9207" width="3.5546875" style="3"/>
    <col min="9208" max="9208" width="11.88671875" style="3" customWidth="1"/>
    <col min="9209" max="9209" width="12.44140625" style="3" customWidth="1"/>
    <col min="9210" max="9210" width="9" style="3" customWidth="1"/>
    <col min="9211" max="9211" width="7.44140625" style="3" customWidth="1"/>
    <col min="9212" max="9213" width="7.5546875" style="3" customWidth="1"/>
    <col min="9214" max="9214" width="15" style="3" customWidth="1"/>
    <col min="9215" max="9215" width="9.6640625" style="3" customWidth="1"/>
    <col min="9216" max="9216" width="14.5546875" style="3" customWidth="1"/>
    <col min="9217" max="9217" width="14.44140625" style="3" customWidth="1"/>
    <col min="9218" max="9218" width="19.88671875" style="3" customWidth="1"/>
    <col min="9219" max="9460" width="9.109375" style="3" customWidth="1"/>
    <col min="9461" max="9462" width="1.33203125" style="3" customWidth="1"/>
    <col min="9463" max="9463" width="3.5546875" style="3"/>
    <col min="9464" max="9464" width="11.88671875" style="3" customWidth="1"/>
    <col min="9465" max="9465" width="12.44140625" style="3" customWidth="1"/>
    <col min="9466" max="9466" width="9" style="3" customWidth="1"/>
    <col min="9467" max="9467" width="7.44140625" style="3" customWidth="1"/>
    <col min="9468" max="9469" width="7.5546875" style="3" customWidth="1"/>
    <col min="9470" max="9470" width="15" style="3" customWidth="1"/>
    <col min="9471" max="9471" width="9.6640625" style="3" customWidth="1"/>
    <col min="9472" max="9472" width="14.5546875" style="3" customWidth="1"/>
    <col min="9473" max="9473" width="14.44140625" style="3" customWidth="1"/>
    <col min="9474" max="9474" width="19.88671875" style="3" customWidth="1"/>
    <col min="9475" max="9716" width="9.109375" style="3" customWidth="1"/>
    <col min="9717" max="9718" width="1.33203125" style="3" customWidth="1"/>
    <col min="9719" max="9719" width="3.5546875" style="3"/>
    <col min="9720" max="9720" width="11.88671875" style="3" customWidth="1"/>
    <col min="9721" max="9721" width="12.44140625" style="3" customWidth="1"/>
    <col min="9722" max="9722" width="9" style="3" customWidth="1"/>
    <col min="9723" max="9723" width="7.44140625" style="3" customWidth="1"/>
    <col min="9724" max="9725" width="7.5546875" style="3" customWidth="1"/>
    <col min="9726" max="9726" width="15" style="3" customWidth="1"/>
    <col min="9727" max="9727" width="9.6640625" style="3" customWidth="1"/>
    <col min="9728" max="9728" width="14.5546875" style="3" customWidth="1"/>
    <col min="9729" max="9729" width="14.44140625" style="3" customWidth="1"/>
    <col min="9730" max="9730" width="19.88671875" style="3" customWidth="1"/>
    <col min="9731" max="9972" width="9.109375" style="3" customWidth="1"/>
    <col min="9973" max="9974" width="1.33203125" style="3" customWidth="1"/>
    <col min="9975" max="9975" width="3.5546875" style="3"/>
    <col min="9976" max="9976" width="11.88671875" style="3" customWidth="1"/>
    <col min="9977" max="9977" width="12.44140625" style="3" customWidth="1"/>
    <col min="9978" max="9978" width="9" style="3" customWidth="1"/>
    <col min="9979" max="9979" width="7.44140625" style="3" customWidth="1"/>
    <col min="9980" max="9981" width="7.5546875" style="3" customWidth="1"/>
    <col min="9982" max="9982" width="15" style="3" customWidth="1"/>
    <col min="9983" max="9983" width="9.6640625" style="3" customWidth="1"/>
    <col min="9984" max="9984" width="14.5546875" style="3" customWidth="1"/>
    <col min="9985" max="9985" width="14.44140625" style="3" customWidth="1"/>
    <col min="9986" max="9986" width="19.88671875" style="3" customWidth="1"/>
    <col min="9987" max="10228" width="9.109375" style="3" customWidth="1"/>
    <col min="10229" max="10230" width="1.33203125" style="3" customWidth="1"/>
    <col min="10231" max="10231" width="3.5546875" style="3"/>
    <col min="10232" max="10232" width="11.88671875" style="3" customWidth="1"/>
    <col min="10233" max="10233" width="12.44140625" style="3" customWidth="1"/>
    <col min="10234" max="10234" width="9" style="3" customWidth="1"/>
    <col min="10235" max="10235" width="7.44140625" style="3" customWidth="1"/>
    <col min="10236" max="10237" width="7.5546875" style="3" customWidth="1"/>
    <col min="10238" max="10238" width="15" style="3" customWidth="1"/>
    <col min="10239" max="10239" width="9.6640625" style="3" customWidth="1"/>
    <col min="10240" max="10240" width="14.5546875" style="3" customWidth="1"/>
    <col min="10241" max="10241" width="14.44140625" style="3" customWidth="1"/>
    <col min="10242" max="10242" width="19.88671875" style="3" customWidth="1"/>
    <col min="10243" max="10484" width="9.109375" style="3" customWidth="1"/>
    <col min="10485" max="10486" width="1.33203125" style="3" customWidth="1"/>
    <col min="10487" max="10487" width="3.5546875" style="3"/>
    <col min="10488" max="10488" width="11.88671875" style="3" customWidth="1"/>
    <col min="10489" max="10489" width="12.44140625" style="3" customWidth="1"/>
    <col min="10490" max="10490" width="9" style="3" customWidth="1"/>
    <col min="10491" max="10491" width="7.44140625" style="3" customWidth="1"/>
    <col min="10492" max="10493" width="7.5546875" style="3" customWidth="1"/>
    <col min="10494" max="10494" width="15" style="3" customWidth="1"/>
    <col min="10495" max="10495" width="9.6640625" style="3" customWidth="1"/>
    <col min="10496" max="10496" width="14.5546875" style="3" customWidth="1"/>
    <col min="10497" max="10497" width="14.44140625" style="3" customWidth="1"/>
    <col min="10498" max="10498" width="19.88671875" style="3" customWidth="1"/>
    <col min="10499" max="10740" width="9.109375" style="3" customWidth="1"/>
    <col min="10741" max="10742" width="1.33203125" style="3" customWidth="1"/>
    <col min="10743" max="10743" width="3.5546875" style="3"/>
    <col min="10744" max="10744" width="11.88671875" style="3" customWidth="1"/>
    <col min="10745" max="10745" width="12.44140625" style="3" customWidth="1"/>
    <col min="10746" max="10746" width="9" style="3" customWidth="1"/>
    <col min="10747" max="10747" width="7.44140625" style="3" customWidth="1"/>
    <col min="10748" max="10749" width="7.5546875" style="3" customWidth="1"/>
    <col min="10750" max="10750" width="15" style="3" customWidth="1"/>
    <col min="10751" max="10751" width="9.6640625" style="3" customWidth="1"/>
    <col min="10752" max="10752" width="14.5546875" style="3" customWidth="1"/>
    <col min="10753" max="10753" width="14.44140625" style="3" customWidth="1"/>
    <col min="10754" max="10754" width="19.88671875" style="3" customWidth="1"/>
    <col min="10755" max="10996" width="9.109375" style="3" customWidth="1"/>
    <col min="10997" max="10998" width="1.33203125" style="3" customWidth="1"/>
    <col min="10999" max="10999" width="3.5546875" style="3"/>
    <col min="11000" max="11000" width="11.88671875" style="3" customWidth="1"/>
    <col min="11001" max="11001" width="12.44140625" style="3" customWidth="1"/>
    <col min="11002" max="11002" width="9" style="3" customWidth="1"/>
    <col min="11003" max="11003" width="7.44140625" style="3" customWidth="1"/>
    <col min="11004" max="11005" width="7.5546875" style="3" customWidth="1"/>
    <col min="11006" max="11006" width="15" style="3" customWidth="1"/>
    <col min="11007" max="11007" width="9.6640625" style="3" customWidth="1"/>
    <col min="11008" max="11008" width="14.5546875" style="3" customWidth="1"/>
    <col min="11009" max="11009" width="14.44140625" style="3" customWidth="1"/>
    <col min="11010" max="11010" width="19.88671875" style="3" customWidth="1"/>
    <col min="11011" max="11252" width="9.109375" style="3" customWidth="1"/>
    <col min="11253" max="11254" width="1.33203125" style="3" customWidth="1"/>
    <col min="11255" max="11255" width="3.5546875" style="3"/>
    <col min="11256" max="11256" width="11.88671875" style="3" customWidth="1"/>
    <col min="11257" max="11257" width="12.44140625" style="3" customWidth="1"/>
    <col min="11258" max="11258" width="9" style="3" customWidth="1"/>
    <col min="11259" max="11259" width="7.44140625" style="3" customWidth="1"/>
    <col min="11260" max="11261" width="7.5546875" style="3" customWidth="1"/>
    <col min="11262" max="11262" width="15" style="3" customWidth="1"/>
    <col min="11263" max="11263" width="9.6640625" style="3" customWidth="1"/>
    <col min="11264" max="11264" width="14.5546875" style="3" customWidth="1"/>
    <col min="11265" max="11265" width="14.44140625" style="3" customWidth="1"/>
    <col min="11266" max="11266" width="19.88671875" style="3" customWidth="1"/>
    <col min="11267" max="11508" width="9.109375" style="3" customWidth="1"/>
    <col min="11509" max="11510" width="1.33203125" style="3" customWidth="1"/>
    <col min="11511" max="11511" width="3.5546875" style="3"/>
    <col min="11512" max="11512" width="11.88671875" style="3" customWidth="1"/>
    <col min="11513" max="11513" width="12.44140625" style="3" customWidth="1"/>
    <col min="11514" max="11514" width="9" style="3" customWidth="1"/>
    <col min="11515" max="11515" width="7.44140625" style="3" customWidth="1"/>
    <col min="11516" max="11517" width="7.5546875" style="3" customWidth="1"/>
    <col min="11518" max="11518" width="15" style="3" customWidth="1"/>
    <col min="11519" max="11519" width="9.6640625" style="3" customWidth="1"/>
    <col min="11520" max="11520" width="14.5546875" style="3" customWidth="1"/>
    <col min="11521" max="11521" width="14.44140625" style="3" customWidth="1"/>
    <col min="11522" max="11522" width="19.88671875" style="3" customWidth="1"/>
    <col min="11523" max="11764" width="9.109375" style="3" customWidth="1"/>
    <col min="11765" max="11766" width="1.33203125" style="3" customWidth="1"/>
    <col min="11767" max="11767" width="3.5546875" style="3"/>
    <col min="11768" max="11768" width="11.88671875" style="3" customWidth="1"/>
    <col min="11769" max="11769" width="12.44140625" style="3" customWidth="1"/>
    <col min="11770" max="11770" width="9" style="3" customWidth="1"/>
    <col min="11771" max="11771" width="7.44140625" style="3" customWidth="1"/>
    <col min="11772" max="11773" width="7.5546875" style="3" customWidth="1"/>
    <col min="11774" max="11774" width="15" style="3" customWidth="1"/>
    <col min="11775" max="11775" width="9.6640625" style="3" customWidth="1"/>
    <col min="11776" max="11776" width="14.5546875" style="3" customWidth="1"/>
    <col min="11777" max="11777" width="14.44140625" style="3" customWidth="1"/>
    <col min="11778" max="11778" width="19.88671875" style="3" customWidth="1"/>
    <col min="11779" max="12020" width="9.109375" style="3" customWidth="1"/>
    <col min="12021" max="12022" width="1.33203125" style="3" customWidth="1"/>
    <col min="12023" max="12023" width="3.5546875" style="3"/>
    <col min="12024" max="12024" width="11.88671875" style="3" customWidth="1"/>
    <col min="12025" max="12025" width="12.44140625" style="3" customWidth="1"/>
    <col min="12026" max="12026" width="9" style="3" customWidth="1"/>
    <col min="12027" max="12027" width="7.44140625" style="3" customWidth="1"/>
    <col min="12028" max="12029" width="7.5546875" style="3" customWidth="1"/>
    <col min="12030" max="12030" width="15" style="3" customWidth="1"/>
    <col min="12031" max="12031" width="9.6640625" style="3" customWidth="1"/>
    <col min="12032" max="12032" width="14.5546875" style="3" customWidth="1"/>
    <col min="12033" max="12033" width="14.44140625" style="3" customWidth="1"/>
    <col min="12034" max="12034" width="19.88671875" style="3" customWidth="1"/>
    <col min="12035" max="12276" width="9.109375" style="3" customWidth="1"/>
    <col min="12277" max="12278" width="1.33203125" style="3" customWidth="1"/>
    <col min="12279" max="12279" width="3.5546875" style="3"/>
    <col min="12280" max="12280" width="11.88671875" style="3" customWidth="1"/>
    <col min="12281" max="12281" width="12.44140625" style="3" customWidth="1"/>
    <col min="12282" max="12282" width="9" style="3" customWidth="1"/>
    <col min="12283" max="12283" width="7.44140625" style="3" customWidth="1"/>
    <col min="12284" max="12285" width="7.5546875" style="3" customWidth="1"/>
    <col min="12286" max="12286" width="15" style="3" customWidth="1"/>
    <col min="12287" max="12287" width="9.6640625" style="3" customWidth="1"/>
    <col min="12288" max="12288" width="14.5546875" style="3" customWidth="1"/>
    <col min="12289" max="12289" width="14.44140625" style="3" customWidth="1"/>
    <col min="12290" max="12290" width="19.88671875" style="3" customWidth="1"/>
    <col min="12291" max="12532" width="9.109375" style="3" customWidth="1"/>
    <col min="12533" max="12534" width="1.33203125" style="3" customWidth="1"/>
    <col min="12535" max="12535" width="3.5546875" style="3"/>
    <col min="12536" max="12536" width="11.88671875" style="3" customWidth="1"/>
    <col min="12537" max="12537" width="12.44140625" style="3" customWidth="1"/>
    <col min="12538" max="12538" width="9" style="3" customWidth="1"/>
    <col min="12539" max="12539" width="7.44140625" style="3" customWidth="1"/>
    <col min="12540" max="12541" width="7.5546875" style="3" customWidth="1"/>
    <col min="12542" max="12542" width="15" style="3" customWidth="1"/>
    <col min="12543" max="12543" width="9.6640625" style="3" customWidth="1"/>
    <col min="12544" max="12544" width="14.5546875" style="3" customWidth="1"/>
    <col min="12545" max="12545" width="14.44140625" style="3" customWidth="1"/>
    <col min="12546" max="12546" width="19.88671875" style="3" customWidth="1"/>
    <col min="12547" max="12788" width="9.109375" style="3" customWidth="1"/>
    <col min="12789" max="12790" width="1.33203125" style="3" customWidth="1"/>
    <col min="12791" max="12791" width="3.5546875" style="3"/>
    <col min="12792" max="12792" width="11.88671875" style="3" customWidth="1"/>
    <col min="12793" max="12793" width="12.44140625" style="3" customWidth="1"/>
    <col min="12794" max="12794" width="9" style="3" customWidth="1"/>
    <col min="12795" max="12795" width="7.44140625" style="3" customWidth="1"/>
    <col min="12796" max="12797" width="7.5546875" style="3" customWidth="1"/>
    <col min="12798" max="12798" width="15" style="3" customWidth="1"/>
    <col min="12799" max="12799" width="9.6640625" style="3" customWidth="1"/>
    <col min="12800" max="12800" width="14.5546875" style="3" customWidth="1"/>
    <col min="12801" max="12801" width="14.44140625" style="3" customWidth="1"/>
    <col min="12802" max="12802" width="19.88671875" style="3" customWidth="1"/>
    <col min="12803" max="13044" width="9.109375" style="3" customWidth="1"/>
    <col min="13045" max="13046" width="1.33203125" style="3" customWidth="1"/>
    <col min="13047" max="13047" width="3.5546875" style="3"/>
    <col min="13048" max="13048" width="11.88671875" style="3" customWidth="1"/>
    <col min="13049" max="13049" width="12.44140625" style="3" customWidth="1"/>
    <col min="13050" max="13050" width="9" style="3" customWidth="1"/>
    <col min="13051" max="13051" width="7.44140625" style="3" customWidth="1"/>
    <col min="13052" max="13053" width="7.5546875" style="3" customWidth="1"/>
    <col min="13054" max="13054" width="15" style="3" customWidth="1"/>
    <col min="13055" max="13055" width="9.6640625" style="3" customWidth="1"/>
    <col min="13056" max="13056" width="14.5546875" style="3" customWidth="1"/>
    <col min="13057" max="13057" width="14.44140625" style="3" customWidth="1"/>
    <col min="13058" max="13058" width="19.88671875" style="3" customWidth="1"/>
    <col min="13059" max="13300" width="9.109375" style="3" customWidth="1"/>
    <col min="13301" max="13302" width="1.33203125" style="3" customWidth="1"/>
    <col min="13303" max="13303" width="3.5546875" style="3"/>
    <col min="13304" max="13304" width="11.88671875" style="3" customWidth="1"/>
    <col min="13305" max="13305" width="12.44140625" style="3" customWidth="1"/>
    <col min="13306" max="13306" width="9" style="3" customWidth="1"/>
    <col min="13307" max="13307" width="7.44140625" style="3" customWidth="1"/>
    <col min="13308" max="13309" width="7.5546875" style="3" customWidth="1"/>
    <col min="13310" max="13310" width="15" style="3" customWidth="1"/>
    <col min="13311" max="13311" width="9.6640625" style="3" customWidth="1"/>
    <col min="13312" max="13312" width="14.5546875" style="3" customWidth="1"/>
    <col min="13313" max="13313" width="14.44140625" style="3" customWidth="1"/>
    <col min="13314" max="13314" width="19.88671875" style="3" customWidth="1"/>
    <col min="13315" max="13556" width="9.109375" style="3" customWidth="1"/>
    <col min="13557" max="13558" width="1.33203125" style="3" customWidth="1"/>
    <col min="13559" max="13559" width="3.5546875" style="3"/>
    <col min="13560" max="13560" width="11.88671875" style="3" customWidth="1"/>
    <col min="13561" max="13561" width="12.44140625" style="3" customWidth="1"/>
    <col min="13562" max="13562" width="9" style="3" customWidth="1"/>
    <col min="13563" max="13563" width="7.44140625" style="3" customWidth="1"/>
    <col min="13564" max="13565" width="7.5546875" style="3" customWidth="1"/>
    <col min="13566" max="13566" width="15" style="3" customWidth="1"/>
    <col min="13567" max="13567" width="9.6640625" style="3" customWidth="1"/>
    <col min="13568" max="13568" width="14.5546875" style="3" customWidth="1"/>
    <col min="13569" max="13569" width="14.44140625" style="3" customWidth="1"/>
    <col min="13570" max="13570" width="19.88671875" style="3" customWidth="1"/>
    <col min="13571" max="13812" width="9.109375" style="3" customWidth="1"/>
    <col min="13813" max="13814" width="1.33203125" style="3" customWidth="1"/>
    <col min="13815" max="13815" width="3.5546875" style="3"/>
    <col min="13816" max="13816" width="11.88671875" style="3" customWidth="1"/>
    <col min="13817" max="13817" width="12.44140625" style="3" customWidth="1"/>
    <col min="13818" max="13818" width="9" style="3" customWidth="1"/>
    <col min="13819" max="13819" width="7.44140625" style="3" customWidth="1"/>
    <col min="13820" max="13821" width="7.5546875" style="3" customWidth="1"/>
    <col min="13822" max="13822" width="15" style="3" customWidth="1"/>
    <col min="13823" max="13823" width="9.6640625" style="3" customWidth="1"/>
    <col min="13824" max="13824" width="14.5546875" style="3" customWidth="1"/>
    <col min="13825" max="13825" width="14.44140625" style="3" customWidth="1"/>
    <col min="13826" max="13826" width="19.88671875" style="3" customWidth="1"/>
    <col min="13827" max="14068" width="9.109375" style="3" customWidth="1"/>
    <col min="14069" max="14070" width="1.33203125" style="3" customWidth="1"/>
    <col min="14071" max="14071" width="3.5546875" style="3"/>
    <col min="14072" max="14072" width="11.88671875" style="3" customWidth="1"/>
    <col min="14073" max="14073" width="12.44140625" style="3" customWidth="1"/>
    <col min="14074" max="14074" width="9" style="3" customWidth="1"/>
    <col min="14075" max="14075" width="7.44140625" style="3" customWidth="1"/>
    <col min="14076" max="14077" width="7.5546875" style="3" customWidth="1"/>
    <col min="14078" max="14078" width="15" style="3" customWidth="1"/>
    <col min="14079" max="14079" width="9.6640625" style="3" customWidth="1"/>
    <col min="14080" max="14080" width="14.5546875" style="3" customWidth="1"/>
    <col min="14081" max="14081" width="14.44140625" style="3" customWidth="1"/>
    <col min="14082" max="14082" width="19.88671875" style="3" customWidth="1"/>
    <col min="14083" max="14324" width="9.109375" style="3" customWidth="1"/>
    <col min="14325" max="14326" width="1.33203125" style="3" customWidth="1"/>
    <col min="14327" max="14327" width="3.5546875" style="3"/>
    <col min="14328" max="14328" width="11.88671875" style="3" customWidth="1"/>
    <col min="14329" max="14329" width="12.44140625" style="3" customWidth="1"/>
    <col min="14330" max="14330" width="9" style="3" customWidth="1"/>
    <col min="14331" max="14331" width="7.44140625" style="3" customWidth="1"/>
    <col min="14332" max="14333" width="7.5546875" style="3" customWidth="1"/>
    <col min="14334" max="14334" width="15" style="3" customWidth="1"/>
    <col min="14335" max="14335" width="9.6640625" style="3" customWidth="1"/>
    <col min="14336" max="14336" width="14.5546875" style="3" customWidth="1"/>
    <col min="14337" max="14337" width="14.44140625" style="3" customWidth="1"/>
    <col min="14338" max="14338" width="19.88671875" style="3" customWidth="1"/>
    <col min="14339" max="14580" width="9.109375" style="3" customWidth="1"/>
    <col min="14581" max="14582" width="1.33203125" style="3" customWidth="1"/>
    <col min="14583" max="14583" width="3.5546875" style="3"/>
    <col min="14584" max="14584" width="11.88671875" style="3" customWidth="1"/>
    <col min="14585" max="14585" width="12.44140625" style="3" customWidth="1"/>
    <col min="14586" max="14586" width="9" style="3" customWidth="1"/>
    <col min="14587" max="14587" width="7.44140625" style="3" customWidth="1"/>
    <col min="14588" max="14589" width="7.5546875" style="3" customWidth="1"/>
    <col min="14590" max="14590" width="15" style="3" customWidth="1"/>
    <col min="14591" max="14591" width="9.6640625" style="3" customWidth="1"/>
    <col min="14592" max="14592" width="14.5546875" style="3" customWidth="1"/>
    <col min="14593" max="14593" width="14.44140625" style="3" customWidth="1"/>
    <col min="14594" max="14594" width="19.88671875" style="3" customWidth="1"/>
    <col min="14595" max="14836" width="9.109375" style="3" customWidth="1"/>
    <col min="14837" max="14838" width="1.33203125" style="3" customWidth="1"/>
    <col min="14839" max="14839" width="3.5546875" style="3"/>
    <col min="14840" max="14840" width="11.88671875" style="3" customWidth="1"/>
    <col min="14841" max="14841" width="12.44140625" style="3" customWidth="1"/>
    <col min="14842" max="14842" width="9" style="3" customWidth="1"/>
    <col min="14843" max="14843" width="7.44140625" style="3" customWidth="1"/>
    <col min="14844" max="14845" width="7.5546875" style="3" customWidth="1"/>
    <col min="14846" max="14846" width="15" style="3" customWidth="1"/>
    <col min="14847" max="14847" width="9.6640625" style="3" customWidth="1"/>
    <col min="14848" max="14848" width="14.5546875" style="3" customWidth="1"/>
    <col min="14849" max="14849" width="14.44140625" style="3" customWidth="1"/>
    <col min="14850" max="14850" width="19.88671875" style="3" customWidth="1"/>
    <col min="14851" max="15092" width="9.109375" style="3" customWidth="1"/>
    <col min="15093" max="15094" width="1.33203125" style="3" customWidth="1"/>
    <col min="15095" max="15095" width="3.5546875" style="3"/>
    <col min="15096" max="15096" width="11.88671875" style="3" customWidth="1"/>
    <col min="15097" max="15097" width="12.44140625" style="3" customWidth="1"/>
    <col min="15098" max="15098" width="9" style="3" customWidth="1"/>
    <col min="15099" max="15099" width="7.44140625" style="3" customWidth="1"/>
    <col min="15100" max="15101" width="7.5546875" style="3" customWidth="1"/>
    <col min="15102" max="15102" width="15" style="3" customWidth="1"/>
    <col min="15103" max="15103" width="9.6640625" style="3" customWidth="1"/>
    <col min="15104" max="15104" width="14.5546875" style="3" customWidth="1"/>
    <col min="15105" max="15105" width="14.44140625" style="3" customWidth="1"/>
    <col min="15106" max="15106" width="19.88671875" style="3" customWidth="1"/>
    <col min="15107" max="15348" width="9.109375" style="3" customWidth="1"/>
    <col min="15349" max="15350" width="1.33203125" style="3" customWidth="1"/>
    <col min="15351" max="15351" width="3.5546875" style="3"/>
    <col min="15352" max="15352" width="11.88671875" style="3" customWidth="1"/>
    <col min="15353" max="15353" width="12.44140625" style="3" customWidth="1"/>
    <col min="15354" max="15354" width="9" style="3" customWidth="1"/>
    <col min="15355" max="15355" width="7.44140625" style="3" customWidth="1"/>
    <col min="15356" max="15357" width="7.5546875" style="3" customWidth="1"/>
    <col min="15358" max="15358" width="15" style="3" customWidth="1"/>
    <col min="15359" max="15359" width="9.6640625" style="3" customWidth="1"/>
    <col min="15360" max="15360" width="14.5546875" style="3" customWidth="1"/>
    <col min="15361" max="15361" width="14.44140625" style="3" customWidth="1"/>
    <col min="15362" max="15362" width="19.88671875" style="3" customWidth="1"/>
    <col min="15363" max="15604" width="9.109375" style="3" customWidth="1"/>
    <col min="15605" max="15606" width="1.33203125" style="3" customWidth="1"/>
    <col min="15607" max="15607" width="3.5546875" style="3"/>
    <col min="15608" max="15608" width="11.88671875" style="3" customWidth="1"/>
    <col min="15609" max="15609" width="12.44140625" style="3" customWidth="1"/>
    <col min="15610" max="15610" width="9" style="3" customWidth="1"/>
    <col min="15611" max="15611" width="7.44140625" style="3" customWidth="1"/>
    <col min="15612" max="15613" width="7.5546875" style="3" customWidth="1"/>
    <col min="15614" max="15614" width="15" style="3" customWidth="1"/>
    <col min="15615" max="15615" width="9.6640625" style="3" customWidth="1"/>
    <col min="15616" max="15616" width="14.5546875" style="3" customWidth="1"/>
    <col min="15617" max="15617" width="14.44140625" style="3" customWidth="1"/>
    <col min="15618" max="15618" width="19.88671875" style="3" customWidth="1"/>
    <col min="15619" max="15860" width="9.109375" style="3" customWidth="1"/>
    <col min="15861" max="15862" width="1.33203125" style="3" customWidth="1"/>
    <col min="15863" max="15863" width="3.5546875" style="3"/>
    <col min="15864" max="15864" width="11.88671875" style="3" customWidth="1"/>
    <col min="15865" max="15865" width="12.44140625" style="3" customWidth="1"/>
    <col min="15866" max="15866" width="9" style="3" customWidth="1"/>
    <col min="15867" max="15867" width="7.44140625" style="3" customWidth="1"/>
    <col min="15868" max="15869" width="7.5546875" style="3" customWidth="1"/>
    <col min="15870" max="15870" width="15" style="3" customWidth="1"/>
    <col min="15871" max="15871" width="9.6640625" style="3" customWidth="1"/>
    <col min="15872" max="15872" width="14.5546875" style="3" customWidth="1"/>
    <col min="15873" max="15873" width="14.44140625" style="3" customWidth="1"/>
    <col min="15874" max="15874" width="19.88671875" style="3" customWidth="1"/>
    <col min="15875" max="16116" width="9.109375" style="3" customWidth="1"/>
    <col min="16117" max="16118" width="1.33203125" style="3" customWidth="1"/>
    <col min="16119" max="16119" width="3.5546875" style="3"/>
    <col min="16120" max="16120" width="11.88671875" style="3" customWidth="1"/>
    <col min="16121" max="16121" width="12.44140625" style="3" customWidth="1"/>
    <col min="16122" max="16122" width="9" style="3" customWidth="1"/>
    <col min="16123" max="16123" width="7.44140625" style="3" customWidth="1"/>
    <col min="16124" max="16125" width="7.5546875" style="3" customWidth="1"/>
    <col min="16126" max="16126" width="15" style="3" customWidth="1"/>
    <col min="16127" max="16127" width="9.6640625" style="3" customWidth="1"/>
    <col min="16128" max="16128" width="14.5546875" style="3" customWidth="1"/>
    <col min="16129" max="16129" width="14.44140625" style="3" customWidth="1"/>
    <col min="16130" max="16130" width="19.88671875" style="3" customWidth="1"/>
    <col min="16131" max="16372" width="9.109375" style="3" customWidth="1"/>
    <col min="16373" max="16374" width="1.33203125" style="3" customWidth="1"/>
    <col min="16375" max="16384" width="3.5546875" style="3"/>
  </cols>
  <sheetData>
    <row r="2" spans="1:247" s="5" customFormat="1" ht="13.5" customHeight="1">
      <c r="B2" s="1162" t="s">
        <v>668</v>
      </c>
    </row>
    <row r="4" spans="1:247" ht="13.5" customHeight="1">
      <c r="A4" s="1147"/>
      <c r="B4" s="1148" t="s">
        <v>1213</v>
      </c>
    </row>
    <row r="5" spans="1:247" ht="13.5" customHeight="1">
      <c r="A5" s="1149"/>
      <c r="B5" s="1150"/>
    </row>
    <row r="6" spans="1:247" customFormat="1" ht="13.5" customHeight="1">
      <c r="A6" s="1149"/>
      <c r="B6" s="1148" t="s">
        <v>1214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row>
    <row r="7" spans="1:247" customFormat="1" ht="13.5" customHeight="1">
      <c r="A7" s="1149"/>
      <c r="B7" s="115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row>
    <row r="8" spans="1:247" ht="13.5" customHeight="1">
      <c r="A8" s="1151"/>
      <c r="B8" s="1152" t="s">
        <v>1215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row>
    <row r="9" spans="1:247" ht="13.5" customHeight="1">
      <c r="A9" s="1149"/>
      <c r="B9" s="1150"/>
    </row>
    <row r="10" spans="1:247" ht="13.5" customHeight="1">
      <c r="A10" s="1153"/>
      <c r="B10" s="1154" t="s">
        <v>36</v>
      </c>
    </row>
    <row r="11" spans="1:247" ht="13.5" customHeight="1">
      <c r="A11" s="1153"/>
      <c r="B11" s="1154" t="s">
        <v>1216</v>
      </c>
    </row>
    <row r="12" spans="1:247" ht="13.5" customHeight="1">
      <c r="A12" s="1153"/>
      <c r="B12" s="1154"/>
    </row>
    <row r="13" spans="1:247" ht="13.8">
      <c r="A13" s="1153">
        <v>1.1000000000000001</v>
      </c>
      <c r="B13" s="1154" t="s">
        <v>1217</v>
      </c>
    </row>
    <row r="14" spans="1:247" ht="13.8">
      <c r="A14" s="1153"/>
      <c r="B14" s="1154" t="s">
        <v>37</v>
      </c>
    </row>
    <row r="15" spans="1:247" ht="13.8">
      <c r="A15" s="1153"/>
      <c r="B15" s="1154"/>
    </row>
    <row r="16" spans="1:247" ht="13.8">
      <c r="A16" s="1153"/>
      <c r="B16" s="1154" t="s">
        <v>91</v>
      </c>
    </row>
    <row r="17" spans="1:2" ht="13.8">
      <c r="A17" s="1153"/>
      <c r="B17" s="1154" t="s">
        <v>38</v>
      </c>
    </row>
    <row r="18" spans="1:2" ht="13.8">
      <c r="A18" s="1153"/>
      <c r="B18" s="1154" t="s">
        <v>39</v>
      </c>
    </row>
    <row r="19" spans="1:2" ht="13.5" customHeight="1">
      <c r="A19" s="1153"/>
      <c r="B19" s="1154" t="s">
        <v>40</v>
      </c>
    </row>
    <row r="20" spans="1:2" ht="13.5" customHeight="1">
      <c r="A20" s="1153"/>
      <c r="B20" s="1154"/>
    </row>
    <row r="21" spans="1:2" ht="13.5" customHeight="1">
      <c r="A21" s="1153"/>
      <c r="B21" s="1154" t="s">
        <v>9</v>
      </c>
    </row>
    <row r="22" spans="1:2" ht="13.5" customHeight="1">
      <c r="A22" s="1153"/>
      <c r="B22" s="1154" t="s">
        <v>1218</v>
      </c>
    </row>
    <row r="23" spans="1:2" ht="13.5" customHeight="1">
      <c r="A23" s="1153">
        <v>1.2</v>
      </c>
      <c r="B23" s="1154"/>
    </row>
    <row r="24" spans="1:2" ht="13.5" customHeight="1">
      <c r="A24" s="1153"/>
      <c r="B24" s="1154" t="s">
        <v>1219</v>
      </c>
    </row>
    <row r="25" spans="1:2" ht="13.5" customHeight="1">
      <c r="A25" s="1153"/>
      <c r="B25" s="1154" t="s">
        <v>10</v>
      </c>
    </row>
    <row r="26" spans="1:2" ht="13.5" customHeight="1">
      <c r="A26" s="1153"/>
      <c r="B26" s="1154" t="s">
        <v>41</v>
      </c>
    </row>
    <row r="27" spans="1:2" ht="13.5" customHeight="1">
      <c r="A27" s="1153"/>
      <c r="B27" s="1154" t="s">
        <v>42</v>
      </c>
    </row>
    <row r="28" spans="1:2" ht="13.5" customHeight="1">
      <c r="A28" s="1153"/>
      <c r="B28" s="1154"/>
    </row>
    <row r="29" spans="1:2" ht="13.5" customHeight="1">
      <c r="A29" s="1153"/>
      <c r="B29" s="1155" t="s">
        <v>11</v>
      </c>
    </row>
    <row r="30" spans="1:2" ht="13.5" customHeight="1">
      <c r="A30" s="1153"/>
      <c r="B30" s="1150"/>
    </row>
    <row r="31" spans="1:2" ht="13.5" customHeight="1">
      <c r="A31" s="1153"/>
      <c r="B31" s="1156" t="s">
        <v>12</v>
      </c>
    </row>
    <row r="32" spans="1:2" ht="13.5" customHeight="1">
      <c r="A32" s="1153" t="s">
        <v>5</v>
      </c>
      <c r="B32" s="1150"/>
    </row>
    <row r="33" spans="1:2" ht="13.5" customHeight="1">
      <c r="A33" s="1153" t="s">
        <v>5</v>
      </c>
      <c r="B33" s="1152" t="s">
        <v>43</v>
      </c>
    </row>
    <row r="34" spans="1:2" ht="13.5" customHeight="1">
      <c r="A34" s="1153"/>
      <c r="B34" s="1152" t="s">
        <v>44</v>
      </c>
    </row>
    <row r="35" spans="1:2" ht="13.5" customHeight="1">
      <c r="A35" s="1153"/>
      <c r="B35" s="1152" t="s">
        <v>45</v>
      </c>
    </row>
    <row r="36" spans="1:2" ht="13.5" customHeight="1">
      <c r="A36" s="1153"/>
      <c r="B36" s="1152" t="s">
        <v>46</v>
      </c>
    </row>
    <row r="37" spans="1:2" ht="13.5" customHeight="1">
      <c r="A37" s="1153"/>
      <c r="B37" s="1152" t="s">
        <v>47</v>
      </c>
    </row>
    <row r="38" spans="1:2" ht="13.5" customHeight="1">
      <c r="A38" s="1153"/>
      <c r="B38" s="1150"/>
    </row>
    <row r="39" spans="1:2" ht="13.5" customHeight="1">
      <c r="A39" s="1153"/>
      <c r="B39" s="1156" t="s">
        <v>13</v>
      </c>
    </row>
    <row r="40" spans="1:2" ht="13.5" customHeight="1">
      <c r="A40" s="1153">
        <v>1.3</v>
      </c>
      <c r="B40" s="1152" t="s">
        <v>14</v>
      </c>
    </row>
    <row r="41" spans="1:2" ht="13.5" customHeight="1">
      <c r="A41" s="1153"/>
      <c r="B41" s="1152" t="s">
        <v>15</v>
      </c>
    </row>
    <row r="42" spans="1:2" ht="13.5" customHeight="1">
      <c r="A42" s="1153"/>
      <c r="B42" s="1152" t="s">
        <v>16</v>
      </c>
    </row>
    <row r="43" spans="1:2" ht="13.5" customHeight="1">
      <c r="A43" s="1153"/>
      <c r="B43" s="1150"/>
    </row>
    <row r="44" spans="1:2" ht="13.5" customHeight="1">
      <c r="A44" s="1153"/>
      <c r="B44" s="1156" t="s">
        <v>17</v>
      </c>
    </row>
    <row r="45" spans="1:2" ht="13.5" customHeight="1">
      <c r="A45" s="1153"/>
      <c r="B45" s="1152" t="s">
        <v>18</v>
      </c>
    </row>
    <row r="46" spans="1:2" ht="13.5" customHeight="1">
      <c r="A46" s="1153"/>
      <c r="B46" s="1152" t="s">
        <v>48</v>
      </c>
    </row>
    <row r="47" spans="1:2" ht="13.5" customHeight="1">
      <c r="A47" s="1153">
        <v>1.4</v>
      </c>
      <c r="B47" s="1152" t="s">
        <v>49</v>
      </c>
    </row>
    <row r="48" spans="1:2" ht="13.5" customHeight="1">
      <c r="A48" s="1153"/>
      <c r="B48" s="1152" t="s">
        <v>1220</v>
      </c>
    </row>
    <row r="49" spans="1:2" ht="13.5" customHeight="1">
      <c r="A49" s="1153"/>
      <c r="B49" s="1152" t="s">
        <v>50</v>
      </c>
    </row>
    <row r="50" spans="1:2" ht="13.5" customHeight="1">
      <c r="A50" s="1153"/>
      <c r="B50" s="1152" t="s">
        <v>51</v>
      </c>
    </row>
    <row r="51" spans="1:2" ht="13.5" customHeight="1">
      <c r="A51" s="1153"/>
      <c r="B51" s="1152" t="s">
        <v>1221</v>
      </c>
    </row>
    <row r="52" spans="1:2" ht="13.5" customHeight="1">
      <c r="A52" s="1153"/>
      <c r="B52" s="1150"/>
    </row>
    <row r="53" spans="1:2" ht="13.5" customHeight="1">
      <c r="A53" s="1153"/>
      <c r="B53" s="1152" t="s">
        <v>52</v>
      </c>
    </row>
    <row r="54" spans="1:2" ht="13.5" customHeight="1">
      <c r="A54" s="1153">
        <v>1.5</v>
      </c>
      <c r="B54" s="1152" t="s">
        <v>53</v>
      </c>
    </row>
    <row r="55" spans="1:2" ht="13.5" customHeight="1">
      <c r="A55" s="1153"/>
      <c r="B55" s="1152" t="s">
        <v>54</v>
      </c>
    </row>
    <row r="56" spans="1:2" ht="13.5" customHeight="1">
      <c r="A56" s="1153"/>
      <c r="B56" s="1152" t="s">
        <v>55</v>
      </c>
    </row>
    <row r="57" spans="1:2" ht="13.5" customHeight="1">
      <c r="A57" s="1153"/>
      <c r="B57" s="1152" t="s">
        <v>56</v>
      </c>
    </row>
    <row r="58" spans="1:2" ht="13.5" customHeight="1">
      <c r="A58" s="1153"/>
      <c r="B58" s="1152" t="s">
        <v>57</v>
      </c>
    </row>
    <row r="59" spans="1:2" ht="13.5" customHeight="1">
      <c r="A59" s="1153"/>
      <c r="B59" s="1152" t="s">
        <v>1222</v>
      </c>
    </row>
    <row r="60" spans="1:2" ht="13.5" customHeight="1">
      <c r="A60" s="1153"/>
      <c r="B60" s="1152" t="s">
        <v>19</v>
      </c>
    </row>
    <row r="61" spans="1:2" ht="13.5" customHeight="1">
      <c r="A61" s="1153"/>
      <c r="B61" s="1152" t="s">
        <v>1223</v>
      </c>
    </row>
    <row r="62" spans="1:2" ht="13.5" customHeight="1">
      <c r="A62" s="1153"/>
      <c r="B62" s="1150"/>
    </row>
    <row r="63" spans="1:2" ht="13.5" customHeight="1">
      <c r="A63" s="1153"/>
      <c r="B63" s="1152" t="s">
        <v>1224</v>
      </c>
    </row>
    <row r="64" spans="1:2" ht="13.5" customHeight="1">
      <c r="A64" s="1153"/>
      <c r="B64" s="1150"/>
    </row>
    <row r="65" spans="1:6" ht="13.5" customHeight="1">
      <c r="A65" s="1153"/>
      <c r="B65" s="1156" t="s">
        <v>20</v>
      </c>
    </row>
    <row r="66" spans="1:6" ht="13.5" customHeight="1">
      <c r="A66" s="1153">
        <v>1.6</v>
      </c>
      <c r="B66" s="1152" t="s">
        <v>21</v>
      </c>
    </row>
    <row r="67" spans="1:6" ht="13.5" customHeight="1">
      <c r="A67" s="1153"/>
      <c r="B67" s="1152" t="s">
        <v>22</v>
      </c>
    </row>
    <row r="68" spans="1:6" ht="13.5" customHeight="1">
      <c r="A68" s="1153"/>
      <c r="B68" s="1150"/>
    </row>
    <row r="69" spans="1:6" ht="13.5" customHeight="1">
      <c r="A69" s="1153"/>
      <c r="B69" s="1152" t="s">
        <v>23</v>
      </c>
      <c r="F69" s="1157">
        <v>60</v>
      </c>
    </row>
    <row r="70" spans="1:6" ht="13.5" customHeight="1">
      <c r="A70" s="1153"/>
      <c r="B70" s="1152" t="s">
        <v>58</v>
      </c>
    </row>
    <row r="71" spans="1:6" ht="13.5" customHeight="1">
      <c r="A71" s="1153"/>
      <c r="B71" s="1152" t="s">
        <v>59</v>
      </c>
    </row>
    <row r="72" spans="1:6" ht="13.5" customHeight="1">
      <c r="A72" s="1153"/>
      <c r="B72" s="1152" t="s">
        <v>60</v>
      </c>
    </row>
    <row r="73" spans="1:6" ht="13.5" customHeight="1">
      <c r="A73" s="1153"/>
      <c r="B73" s="1150"/>
    </row>
    <row r="74" spans="1:6" ht="13.5" customHeight="1">
      <c r="A74" s="1153">
        <v>1.7</v>
      </c>
      <c r="B74" s="1156" t="s">
        <v>24</v>
      </c>
    </row>
    <row r="75" spans="1:6" ht="13.5" customHeight="1">
      <c r="A75" s="1153"/>
      <c r="B75" s="1152" t="s">
        <v>61</v>
      </c>
    </row>
    <row r="76" spans="1:6" ht="13.5" customHeight="1">
      <c r="A76" s="1153"/>
      <c r="B76" s="1152" t="s">
        <v>62</v>
      </c>
    </row>
    <row r="77" spans="1:6" ht="13.5" customHeight="1">
      <c r="A77" s="1153"/>
      <c r="B77" s="1152" t="s">
        <v>63</v>
      </c>
    </row>
    <row r="78" spans="1:6" ht="13.5" customHeight="1">
      <c r="A78" s="1153"/>
      <c r="B78" s="1152" t="s">
        <v>64</v>
      </c>
    </row>
    <row r="79" spans="1:6" ht="13.5" customHeight="1">
      <c r="A79" s="1153"/>
      <c r="B79" s="1150"/>
    </row>
    <row r="80" spans="1:6" ht="13.5" customHeight="1">
      <c r="A80" s="1153">
        <v>1.8</v>
      </c>
      <c r="B80" s="1156" t="s">
        <v>25</v>
      </c>
    </row>
    <row r="81" spans="1:2" ht="13.5" customHeight="1">
      <c r="A81" s="1153"/>
      <c r="B81" s="1152" t="s">
        <v>65</v>
      </c>
    </row>
    <row r="82" spans="1:2" ht="13.5" customHeight="1">
      <c r="A82" s="1153"/>
      <c r="B82" s="1152" t="s">
        <v>66</v>
      </c>
    </row>
    <row r="83" spans="1:2" ht="13.5" customHeight="1">
      <c r="A83" s="1153"/>
      <c r="B83" s="1152" t="s">
        <v>67</v>
      </c>
    </row>
    <row r="84" spans="1:2" ht="13.5" customHeight="1">
      <c r="A84" s="1153"/>
      <c r="B84" s="1150"/>
    </row>
    <row r="85" spans="1:2" ht="13.5" customHeight="1">
      <c r="A85" s="1153"/>
      <c r="B85" s="1150"/>
    </row>
    <row r="86" spans="1:2" ht="13.5" customHeight="1">
      <c r="A86" s="1153"/>
      <c r="B86" s="1152" t="s">
        <v>1225</v>
      </c>
    </row>
    <row r="87" spans="1:2" ht="13.5" customHeight="1">
      <c r="A87" s="1153"/>
      <c r="B87" s="1152" t="s">
        <v>92</v>
      </c>
    </row>
    <row r="88" spans="1:2" ht="13.5" customHeight="1">
      <c r="A88" s="1153"/>
      <c r="B88" s="1150"/>
    </row>
    <row r="89" spans="1:2" ht="13.5" customHeight="1">
      <c r="A89" s="1153">
        <v>1.9</v>
      </c>
      <c r="B89" s="1156" t="s">
        <v>26</v>
      </c>
    </row>
    <row r="90" spans="1:2" ht="13.5" customHeight="1">
      <c r="A90" s="1153"/>
      <c r="B90" s="1152" t="s">
        <v>27</v>
      </c>
    </row>
    <row r="91" spans="1:2" ht="13.5" customHeight="1">
      <c r="A91" s="1153"/>
      <c r="B91" s="1152" t="s">
        <v>28</v>
      </c>
    </row>
    <row r="92" spans="1:2" ht="13.5" customHeight="1">
      <c r="A92" s="1153"/>
      <c r="B92" s="1150"/>
    </row>
    <row r="93" spans="1:2" ht="13.5" customHeight="1">
      <c r="A93" s="1153"/>
      <c r="B93" s="1152" t="s">
        <v>68</v>
      </c>
    </row>
    <row r="94" spans="1:2" ht="13.5" customHeight="1">
      <c r="A94" s="1153"/>
      <c r="B94" s="1152" t="s">
        <v>69</v>
      </c>
    </row>
    <row r="95" spans="1:2" ht="13.5" customHeight="1">
      <c r="A95" s="1153"/>
      <c r="B95" s="1152" t="s">
        <v>70</v>
      </c>
    </row>
    <row r="96" spans="1:2" ht="13.5" customHeight="1">
      <c r="A96" s="1153"/>
      <c r="B96" s="1150"/>
    </row>
    <row r="97" spans="1:2" ht="13.5" customHeight="1">
      <c r="A97" s="1158">
        <v>1.1000000000000001</v>
      </c>
      <c r="B97" s="1156" t="s">
        <v>29</v>
      </c>
    </row>
    <row r="98" spans="1:2" ht="13.5" customHeight="1">
      <c r="A98" s="1153"/>
      <c r="B98" s="1152" t="s">
        <v>30</v>
      </c>
    </row>
    <row r="99" spans="1:2" ht="13.5" customHeight="1">
      <c r="A99" s="1153"/>
      <c r="B99" s="1152" t="s">
        <v>31</v>
      </c>
    </row>
    <row r="100" spans="1:2" ht="13.5" customHeight="1">
      <c r="A100" s="1153"/>
      <c r="B100" s="1152" t="s">
        <v>71</v>
      </c>
    </row>
    <row r="101" spans="1:2" ht="13.5" customHeight="1">
      <c r="A101" s="1153"/>
      <c r="B101" s="1152" t="s">
        <v>72</v>
      </c>
    </row>
    <row r="102" spans="1:2" ht="13.5" customHeight="1">
      <c r="A102" s="1153"/>
      <c r="B102" s="1150"/>
    </row>
    <row r="103" spans="1:2" ht="13.5" customHeight="1">
      <c r="A103" s="1153">
        <v>1.1100000000000001</v>
      </c>
      <c r="B103" s="1156" t="s">
        <v>32</v>
      </c>
    </row>
    <row r="104" spans="1:2" ht="13.5" customHeight="1">
      <c r="A104" s="1153"/>
      <c r="B104" s="1152" t="s">
        <v>73</v>
      </c>
    </row>
    <row r="105" spans="1:2" ht="13.5" customHeight="1">
      <c r="A105" s="1153"/>
      <c r="B105" s="1152" t="s">
        <v>74</v>
      </c>
    </row>
    <row r="106" spans="1:2" ht="13.5" customHeight="1">
      <c r="A106" s="1153"/>
      <c r="B106" s="1152" t="s">
        <v>75</v>
      </c>
    </row>
    <row r="107" spans="1:2" ht="13.5" customHeight="1">
      <c r="A107" s="1153"/>
      <c r="B107" s="1152" t="s">
        <v>76</v>
      </c>
    </row>
    <row r="108" spans="1:2" ht="13.5" customHeight="1">
      <c r="A108" s="1153"/>
      <c r="B108" s="1152" t="s">
        <v>77</v>
      </c>
    </row>
    <row r="109" spans="1:2" ht="13.5" customHeight="1">
      <c r="A109" s="1153"/>
      <c r="B109" s="1152" t="s">
        <v>78</v>
      </c>
    </row>
    <row r="110" spans="1:2" ht="13.5" customHeight="1">
      <c r="A110" s="1153"/>
      <c r="B110" s="1152" t="s">
        <v>79</v>
      </c>
    </row>
    <row r="111" spans="1:2" ht="13.5" customHeight="1">
      <c r="A111" s="1153"/>
      <c r="B111" s="1152" t="s">
        <v>33</v>
      </c>
    </row>
    <row r="112" spans="1:2" ht="13.5" customHeight="1">
      <c r="A112" s="1153"/>
      <c r="B112" s="1152" t="s">
        <v>34</v>
      </c>
    </row>
    <row r="113" spans="1:6" ht="13.5" customHeight="1">
      <c r="A113" s="1153"/>
      <c r="B113" s="1152" t="s">
        <v>35</v>
      </c>
    </row>
    <row r="114" spans="1:6" ht="13.5" customHeight="1">
      <c r="A114" s="1153"/>
      <c r="B114" s="1152" t="s">
        <v>81</v>
      </c>
    </row>
    <row r="115" spans="1:6" ht="13.5" customHeight="1">
      <c r="A115" s="1153"/>
      <c r="B115" s="1152" t="s">
        <v>80</v>
      </c>
      <c r="F115" s="1157"/>
    </row>
    <row r="116" spans="1:6" s="4" customFormat="1" ht="13.5" customHeight="1">
      <c r="A116" s="1153"/>
      <c r="B116" s="1159" t="s">
        <v>1226</v>
      </c>
      <c r="C116" s="1160"/>
    </row>
  </sheetData>
  <customSheetViews>
    <customSheetView guid="{58A41188-4CB9-4607-A927-9B98665919B2}" showPageBreaks="1" view="pageBreakPreview" topLeftCell="A424">
      <selection activeCell="B186" sqref="B186"/>
      <rowBreaks count="11" manualBreakCount="11">
        <brk id="56" max="16383" man="1"/>
        <brk id="148" max="16383" man="1"/>
        <brk id="194" max="16383" man="1"/>
        <brk id="243" max="16383" man="1"/>
        <brk id="299" max="16383" man="1"/>
        <brk id="357" max="16383" man="1"/>
        <brk id="401" max="16383" man="1"/>
        <brk id="474" max="10" man="1"/>
        <brk id="542" max="10" man="1"/>
        <brk id="623" max="10" man="1"/>
        <brk id="693" max="10" man="1"/>
      </rowBreaks>
      <pageMargins left="0.2" right="0.2" top="0.75" bottom="0.5" header="0.45" footer="0.3"/>
      <printOptions horizontalCentered="1"/>
      <pageSetup scale="51" orientation="portrait" verticalDpi="300" r:id="rId1"/>
      <headerFooter alignWithMargins="0">
        <oddHeader>&amp;LSECTION 1: PRELIMINARIES AND GENERAL DESCRIPTIONS&amp;R PROPOSED SHIBIS DISTRICT NEW POLICE STATION</oddHeader>
        <oddFooter>&amp;C1/&amp;P</oddFooter>
      </headerFooter>
    </customSheetView>
    <customSheetView guid="{1E933494-4ABB-4290-95BF-88ADDB331983}" scale="107" showPageBreaks="1" printArea="1" view="pageBreakPreview" topLeftCell="A437">
      <selection activeCell="C462" sqref="C462"/>
      <rowBreaks count="1" manualBreakCount="1">
        <brk id="57" max="5" man="1"/>
      </rowBreaks>
      <pageMargins left="0.2" right="0.2" top="0.75" bottom="0.5" header="0.45" footer="0.3"/>
      <printOptions horizontalCentered="1"/>
      <pageSetup scale="75" orientation="portrait" verticalDpi="300" r:id="rId2"/>
      <headerFooter alignWithMargins="0">
        <oddHeader>&amp;LSECTION 1: PRELIMINARIES AND GENERAL DESCRIPTIONS&amp;R PROPOSED SHIBIS DISTRICT NEW POLICE STATION</oddHeader>
        <oddFooter>&amp;C1/&amp;P</oddFooter>
      </headerFooter>
    </customSheetView>
  </customSheetViews>
  <printOptions horizontalCentered="1"/>
  <pageMargins left="0.2" right="0.2" top="0.75" bottom="0.5" header="0.45" footer="0.3"/>
  <pageSetup scale="95" orientation="portrait" verticalDpi="300" r:id="rId3"/>
  <headerFooter alignWithMargins="0">
    <oddHeader>&amp;LSECTION 1: PRELIMINARIES AND GENERAL DESCRIPTIONS&amp;R PROPOSED SHIBIS DISTRICT NEW POLICE STATION</oddHeader>
    <oddFooter>&amp;C1/&amp;P</oddFooter>
  </headerFooter>
  <rowBreaks count="10" manualBreakCount="10">
    <brk id="147" max="16383" man="1"/>
    <brk id="193" max="16383" man="1"/>
    <brk id="242" max="16383" man="1"/>
    <brk id="298" max="16383" man="1"/>
    <brk id="356" max="16383" man="1"/>
    <brk id="400" max="16383" man="1"/>
    <brk id="473" max="10" man="1"/>
    <brk id="541" max="10" man="1"/>
    <brk id="622" max="10" man="1"/>
    <brk id="69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view="pageBreakPreview" topLeftCell="A45" zoomScale="112" zoomScaleNormal="100" zoomScaleSheetLayoutView="112" workbookViewId="0">
      <selection activeCell="C39" sqref="C39"/>
    </sheetView>
  </sheetViews>
  <sheetFormatPr defaultRowHeight="13.2"/>
  <cols>
    <col min="1" max="1" width="7.33203125" bestFit="1" customWidth="1"/>
    <col min="2" max="2" width="50.6640625" customWidth="1"/>
    <col min="3" max="3" width="5.33203125" bestFit="1" customWidth="1"/>
    <col min="4" max="4" width="4.6640625" style="81" bestFit="1" customWidth="1"/>
    <col min="5" max="5" width="8.44140625" bestFit="1" customWidth="1"/>
    <col min="6" max="6" width="11.33203125" style="470" customWidth="1"/>
  </cols>
  <sheetData>
    <row r="1" spans="1:6" s="52" customFormat="1" ht="14.4">
      <c r="A1" s="325"/>
      <c r="B1" s="325"/>
      <c r="C1" s="325"/>
      <c r="D1" s="326"/>
      <c r="E1" s="325"/>
      <c r="F1" s="1084"/>
    </row>
    <row r="2" spans="1:6" s="52" customFormat="1" ht="14.4">
      <c r="A2" s="230" t="s">
        <v>282</v>
      </c>
      <c r="B2" s="230" t="s">
        <v>286</v>
      </c>
      <c r="C2" s="230" t="s">
        <v>139</v>
      </c>
      <c r="D2" s="231" t="s">
        <v>283</v>
      </c>
      <c r="E2" s="327" t="s">
        <v>288</v>
      </c>
      <c r="F2" s="1085" t="s">
        <v>287</v>
      </c>
    </row>
    <row r="3" spans="1:6" s="52" customFormat="1" ht="30.6">
      <c r="A3" s="328"/>
      <c r="B3" s="329" t="s">
        <v>230</v>
      </c>
      <c r="C3" s="330"/>
      <c r="D3" s="330"/>
      <c r="E3" s="330"/>
      <c r="F3" s="1086"/>
    </row>
    <row r="4" spans="1:6" s="52" customFormat="1" ht="14.4">
      <c r="A4" s="312"/>
      <c r="B4" s="331"/>
      <c r="C4" s="312"/>
      <c r="D4" s="312"/>
      <c r="E4" s="312"/>
      <c r="F4" s="1087"/>
    </row>
    <row r="5" spans="1:6" s="52" customFormat="1" ht="14.4">
      <c r="A5" s="211"/>
      <c r="B5" s="332" t="s">
        <v>674</v>
      </c>
      <c r="C5" s="214"/>
      <c r="D5" s="213"/>
      <c r="E5" s="333"/>
      <c r="F5" s="467"/>
    </row>
    <row r="6" spans="1:6" s="52" customFormat="1" ht="14.4">
      <c r="A6" s="211"/>
      <c r="B6" s="215"/>
      <c r="C6" s="214"/>
      <c r="D6" s="213"/>
      <c r="E6" s="333"/>
      <c r="F6" s="467"/>
    </row>
    <row r="7" spans="1:6" s="52" customFormat="1" ht="14.4">
      <c r="A7" s="216"/>
      <c r="B7" s="226"/>
      <c r="C7" s="214"/>
      <c r="D7" s="213"/>
      <c r="E7" s="333"/>
      <c r="F7" s="467"/>
    </row>
    <row r="8" spans="1:6" s="52" customFormat="1" ht="14.4">
      <c r="A8" s="211">
        <v>10</v>
      </c>
      <c r="B8" s="332" t="s">
        <v>372</v>
      </c>
      <c r="C8" s="211"/>
      <c r="D8" s="339"/>
      <c r="E8" s="340"/>
      <c r="F8" s="1088"/>
    </row>
    <row r="9" spans="1:6" s="52" customFormat="1" ht="14.4">
      <c r="A9" s="341"/>
      <c r="B9" s="334" t="s">
        <v>95</v>
      </c>
      <c r="C9" s="342"/>
      <c r="D9" s="343"/>
      <c r="E9" s="344"/>
      <c r="F9" s="1089"/>
    </row>
    <row r="10" spans="1:6" s="52" customFormat="1" ht="14.4">
      <c r="A10" s="341"/>
      <c r="B10" s="334" t="s">
        <v>96</v>
      </c>
      <c r="C10" s="342"/>
      <c r="D10" s="343"/>
      <c r="E10" s="344"/>
      <c r="F10" s="1089"/>
    </row>
    <row r="11" spans="1:6" s="52" customFormat="1" ht="28.8">
      <c r="A11" s="345">
        <v>10.1</v>
      </c>
      <c r="B11" s="212" t="s">
        <v>373</v>
      </c>
      <c r="C11" s="346" t="s">
        <v>162</v>
      </c>
      <c r="D11" s="347">
        <f>1.8*2*4</f>
        <v>14.4</v>
      </c>
      <c r="E11" s="348"/>
      <c r="F11" s="1090">
        <f>D11*E11</f>
        <v>0</v>
      </c>
    </row>
    <row r="12" spans="1:6" s="52" customFormat="1" ht="14.4">
      <c r="A12" s="345"/>
      <c r="B12" s="212" t="s">
        <v>374</v>
      </c>
      <c r="C12" s="346"/>
      <c r="D12" s="347"/>
      <c r="E12" s="348"/>
      <c r="F12" s="1090"/>
    </row>
    <row r="13" spans="1:6" s="52" customFormat="1" ht="28.8">
      <c r="A13" s="345">
        <v>10.199999999999999</v>
      </c>
      <c r="B13" s="212" t="s">
        <v>375</v>
      </c>
      <c r="C13" s="346" t="s">
        <v>162</v>
      </c>
      <c r="D13" s="347">
        <v>13</v>
      </c>
      <c r="E13" s="348"/>
      <c r="F13" s="1090">
        <f>D13*E13</f>
        <v>0</v>
      </c>
    </row>
    <row r="14" spans="1:6" s="52" customFormat="1" ht="14.4">
      <c r="A14" s="345"/>
      <c r="B14" s="334" t="s">
        <v>376</v>
      </c>
      <c r="C14" s="346"/>
      <c r="D14" s="347"/>
      <c r="E14" s="348"/>
      <c r="F14" s="1090"/>
    </row>
    <row r="15" spans="1:6" s="52" customFormat="1" ht="28.8">
      <c r="A15" s="345">
        <v>10.3</v>
      </c>
      <c r="B15" s="212" t="s">
        <v>397</v>
      </c>
      <c r="C15" s="346" t="s">
        <v>162</v>
      </c>
      <c r="D15" s="347">
        <f>2*4*0.13</f>
        <v>1.04</v>
      </c>
      <c r="E15" s="348"/>
      <c r="F15" s="1090">
        <f>D15*E15</f>
        <v>0</v>
      </c>
    </row>
    <row r="16" spans="1:6" s="52" customFormat="1" ht="14.4">
      <c r="A16" s="345"/>
      <c r="B16" s="334" t="s">
        <v>377</v>
      </c>
      <c r="C16" s="346"/>
      <c r="D16" s="347"/>
      <c r="E16" s="348"/>
      <c r="F16" s="1090"/>
    </row>
    <row r="17" spans="1:6" s="52" customFormat="1" ht="14.4">
      <c r="A17" s="345"/>
      <c r="B17" s="334" t="s">
        <v>378</v>
      </c>
      <c r="C17" s="346"/>
      <c r="D17" s="347"/>
      <c r="E17" s="348"/>
      <c r="F17" s="1090"/>
    </row>
    <row r="18" spans="1:6" s="52" customFormat="1" ht="43.2">
      <c r="A18" s="345">
        <v>10.4</v>
      </c>
      <c r="B18" s="212" t="s">
        <v>379</v>
      </c>
      <c r="C18" s="346" t="s">
        <v>163</v>
      </c>
      <c r="D18" s="347">
        <v>130</v>
      </c>
      <c r="E18" s="348"/>
      <c r="F18" s="1090">
        <f>D18*E18</f>
        <v>0</v>
      </c>
    </row>
    <row r="19" spans="1:6" s="52" customFormat="1" ht="14.4">
      <c r="A19" s="345">
        <v>10.5</v>
      </c>
      <c r="B19" s="212" t="s">
        <v>380</v>
      </c>
      <c r="C19" s="346" t="s">
        <v>381</v>
      </c>
      <c r="D19" s="347">
        <v>12.5</v>
      </c>
      <c r="E19" s="348"/>
      <c r="F19" s="1090">
        <f>D19*E19</f>
        <v>0</v>
      </c>
    </row>
    <row r="20" spans="1:6" s="52" customFormat="1" ht="14.4">
      <c r="A20" s="345"/>
      <c r="B20" s="349"/>
      <c r="C20" s="346"/>
      <c r="D20" s="347"/>
      <c r="E20" s="348"/>
      <c r="F20" s="1090"/>
    </row>
    <row r="21" spans="1:6" s="52" customFormat="1" ht="14.4">
      <c r="A21" s="345"/>
      <c r="B21" s="338" t="s">
        <v>382</v>
      </c>
      <c r="C21" s="346"/>
      <c r="D21" s="347"/>
      <c r="E21" s="348"/>
      <c r="F21" s="1090"/>
    </row>
    <row r="22" spans="1:6" s="52" customFormat="1" ht="14.4">
      <c r="A22" s="345"/>
      <c r="B22" s="334" t="s">
        <v>110</v>
      </c>
      <c r="C22" s="346"/>
      <c r="D22" s="347"/>
      <c r="E22" s="348"/>
      <c r="F22" s="1090"/>
    </row>
    <row r="23" spans="1:6" s="52" customFormat="1" ht="14.4">
      <c r="A23" s="345"/>
      <c r="B23" s="334" t="s">
        <v>105</v>
      </c>
      <c r="C23" s="346"/>
      <c r="D23" s="347"/>
      <c r="E23" s="348"/>
      <c r="F23" s="1090"/>
    </row>
    <row r="24" spans="1:6" s="52" customFormat="1" ht="14.4">
      <c r="A24" s="345"/>
      <c r="B24" s="334" t="s">
        <v>106</v>
      </c>
      <c r="C24" s="346"/>
      <c r="D24" s="347"/>
      <c r="E24" s="348"/>
      <c r="F24" s="1090"/>
    </row>
    <row r="25" spans="1:6" s="52" customFormat="1" ht="14.4">
      <c r="A25" s="345">
        <v>10.6</v>
      </c>
      <c r="B25" s="212" t="s">
        <v>383</v>
      </c>
      <c r="C25" s="346" t="s">
        <v>164</v>
      </c>
      <c r="D25" s="347">
        <v>22</v>
      </c>
      <c r="E25" s="348"/>
      <c r="F25" s="1090">
        <f>D25*E25</f>
        <v>0</v>
      </c>
    </row>
    <row r="26" spans="1:6" s="52" customFormat="1" ht="14.4">
      <c r="A26" s="217"/>
      <c r="B26" s="215" t="s">
        <v>227</v>
      </c>
      <c r="C26" s="218"/>
      <c r="D26" s="219"/>
      <c r="E26" s="335"/>
      <c r="F26" s="468">
        <f>SUM(F7:F25)</f>
        <v>0</v>
      </c>
    </row>
    <row r="27" spans="1:6" s="52" customFormat="1" ht="14.4">
      <c r="A27" s="230" t="s">
        <v>282</v>
      </c>
      <c r="B27" s="230" t="s">
        <v>286</v>
      </c>
      <c r="C27" s="230" t="s">
        <v>139</v>
      </c>
      <c r="D27" s="231" t="s">
        <v>283</v>
      </c>
      <c r="E27" s="327" t="s">
        <v>288</v>
      </c>
      <c r="F27" s="1085" t="s">
        <v>287</v>
      </c>
    </row>
    <row r="28" spans="1:6" s="52" customFormat="1" ht="14.4">
      <c r="A28" s="227"/>
      <c r="B28" s="227" t="s">
        <v>224</v>
      </c>
      <c r="C28" s="227"/>
      <c r="D28" s="336"/>
      <c r="E28" s="337"/>
      <c r="F28" s="451">
        <f>F26</f>
        <v>0</v>
      </c>
    </row>
    <row r="29" spans="1:6" s="52" customFormat="1" ht="14.4">
      <c r="A29" s="345"/>
      <c r="B29" s="212"/>
      <c r="C29" s="346"/>
      <c r="D29" s="347"/>
      <c r="E29" s="348"/>
      <c r="F29" s="1090"/>
    </row>
    <row r="30" spans="1:6" s="52" customFormat="1" ht="14.4">
      <c r="A30" s="345"/>
      <c r="B30" s="334" t="s">
        <v>115</v>
      </c>
      <c r="C30" s="346"/>
      <c r="D30" s="347"/>
      <c r="E30" s="348"/>
      <c r="F30" s="1090"/>
    </row>
    <row r="31" spans="1:6" s="52" customFormat="1" ht="43.2">
      <c r="A31" s="345">
        <v>10.7</v>
      </c>
      <c r="B31" s="212" t="s">
        <v>396</v>
      </c>
      <c r="C31" s="346" t="s">
        <v>164</v>
      </c>
      <c r="D31" s="347">
        <v>22</v>
      </c>
      <c r="E31" s="348"/>
      <c r="F31" s="1090">
        <f>D31*E31</f>
        <v>0</v>
      </c>
    </row>
    <row r="32" spans="1:6" s="52" customFormat="1" ht="14.4">
      <c r="A32" s="345"/>
      <c r="B32" s="212"/>
      <c r="C32" s="346"/>
      <c r="D32" s="347"/>
      <c r="E32" s="348"/>
      <c r="F32" s="1090"/>
    </row>
    <row r="33" spans="1:6" s="52" customFormat="1" ht="14.4">
      <c r="A33" s="345"/>
      <c r="B33" s="334" t="s">
        <v>376</v>
      </c>
      <c r="C33" s="346"/>
      <c r="D33" s="347"/>
      <c r="E33" s="348"/>
      <c r="F33" s="1090"/>
    </row>
    <row r="34" spans="1:6" s="52" customFormat="1" ht="28.8">
      <c r="A34" s="345">
        <v>10.8</v>
      </c>
      <c r="B34" s="212" t="s">
        <v>384</v>
      </c>
      <c r="C34" s="346" t="s">
        <v>162</v>
      </c>
      <c r="D34" s="347">
        <f>2*4*0.13</f>
        <v>1.04</v>
      </c>
      <c r="E34" s="348"/>
      <c r="F34" s="1090">
        <f>D34*E34</f>
        <v>0</v>
      </c>
    </row>
    <row r="35" spans="1:6" s="52" customFormat="1" ht="28.8">
      <c r="A35" s="345"/>
      <c r="B35" s="212" t="s">
        <v>385</v>
      </c>
      <c r="C35" s="346"/>
      <c r="D35" s="347"/>
      <c r="E35" s="348"/>
      <c r="F35" s="1090"/>
    </row>
    <row r="36" spans="1:6" s="52" customFormat="1" ht="14.4">
      <c r="A36" s="345"/>
      <c r="B36" s="212"/>
      <c r="C36" s="346"/>
      <c r="D36" s="347"/>
      <c r="E36" s="348"/>
      <c r="F36" s="1090"/>
    </row>
    <row r="37" spans="1:6" s="52" customFormat="1" ht="14.4">
      <c r="A37" s="345"/>
      <c r="B37" s="334" t="s">
        <v>377</v>
      </c>
      <c r="C37" s="346"/>
      <c r="D37" s="347"/>
      <c r="E37" s="348"/>
      <c r="F37" s="1090"/>
    </row>
    <row r="38" spans="1:6" s="52" customFormat="1" ht="14.4">
      <c r="A38" s="345"/>
      <c r="B38" s="334" t="s">
        <v>378</v>
      </c>
      <c r="C38" s="346"/>
      <c r="D38" s="347"/>
      <c r="E38" s="348"/>
      <c r="F38" s="1090"/>
    </row>
    <row r="39" spans="1:6" s="52" customFormat="1" ht="14.4">
      <c r="A39" s="345">
        <v>10.9</v>
      </c>
      <c r="B39" s="212" t="s">
        <v>386</v>
      </c>
      <c r="C39" s="346" t="s">
        <v>163</v>
      </c>
      <c r="D39" s="347">
        <v>65</v>
      </c>
      <c r="E39" s="348"/>
      <c r="F39" s="1090">
        <f>D39*E39</f>
        <v>0</v>
      </c>
    </row>
    <row r="40" spans="1:6" s="52" customFormat="1" ht="28.8">
      <c r="A40" s="345"/>
      <c r="B40" s="212" t="s">
        <v>387</v>
      </c>
      <c r="C40" s="346"/>
      <c r="D40" s="347"/>
      <c r="E40" s="348"/>
      <c r="F40" s="1090"/>
    </row>
    <row r="41" spans="1:6" s="52" customFormat="1" ht="14.4">
      <c r="A41" s="345"/>
      <c r="B41" s="212" t="s">
        <v>388</v>
      </c>
      <c r="C41" s="346"/>
      <c r="D41" s="347"/>
      <c r="E41" s="348"/>
      <c r="F41" s="1090"/>
    </row>
    <row r="42" spans="1:6" s="52" customFormat="1" ht="14.4">
      <c r="A42" s="387">
        <v>10.1</v>
      </c>
      <c r="B42" s="212" t="s">
        <v>380</v>
      </c>
      <c r="C42" s="346" t="s">
        <v>381</v>
      </c>
      <c r="D42" s="347">
        <v>12.5</v>
      </c>
      <c r="E42" s="348"/>
      <c r="F42" s="1090">
        <f>D42*E42</f>
        <v>0</v>
      </c>
    </row>
    <row r="43" spans="1:6" s="52" customFormat="1" ht="14.4">
      <c r="A43" s="345">
        <v>10.11</v>
      </c>
      <c r="B43" s="212" t="s">
        <v>389</v>
      </c>
      <c r="C43" s="346" t="s">
        <v>164</v>
      </c>
      <c r="D43" s="347">
        <v>12.5</v>
      </c>
      <c r="E43" s="348"/>
      <c r="F43" s="1090">
        <f>D43*E43</f>
        <v>0</v>
      </c>
    </row>
    <row r="44" spans="1:6" s="52" customFormat="1" ht="14.4">
      <c r="A44" s="345"/>
      <c r="B44" s="212"/>
      <c r="C44" s="346"/>
      <c r="D44" s="347"/>
      <c r="E44" s="348"/>
      <c r="F44" s="1090"/>
    </row>
    <row r="45" spans="1:6" s="52" customFormat="1" ht="14.4">
      <c r="A45" s="345">
        <v>10.119999999999999</v>
      </c>
      <c r="B45" s="212" t="s">
        <v>390</v>
      </c>
      <c r="C45" s="346" t="s">
        <v>391</v>
      </c>
      <c r="D45" s="347">
        <v>1</v>
      </c>
      <c r="E45" s="348"/>
      <c r="F45" s="1090">
        <f>D45*E45</f>
        <v>0</v>
      </c>
    </row>
    <row r="46" spans="1:6" s="52" customFormat="1" ht="43.2">
      <c r="A46" s="345">
        <v>10.130000000000001</v>
      </c>
      <c r="B46" s="212" t="s">
        <v>392</v>
      </c>
      <c r="C46" s="346" t="s">
        <v>140</v>
      </c>
      <c r="D46" s="347">
        <v>1</v>
      </c>
      <c r="E46" s="348"/>
      <c r="F46" s="1090">
        <f>D46*E46</f>
        <v>0</v>
      </c>
    </row>
    <row r="47" spans="1:6" s="52" customFormat="1" ht="28.8">
      <c r="A47" s="345">
        <v>10.14</v>
      </c>
      <c r="B47" s="212" t="s">
        <v>393</v>
      </c>
      <c r="C47" s="346" t="s">
        <v>381</v>
      </c>
      <c r="D47" s="347">
        <v>12</v>
      </c>
      <c r="E47" s="348"/>
      <c r="F47" s="1090">
        <f>D47*E47</f>
        <v>0</v>
      </c>
    </row>
    <row r="48" spans="1:6" s="80" customFormat="1" ht="14.4">
      <c r="A48" s="345"/>
      <c r="B48" s="212"/>
      <c r="C48" s="346"/>
      <c r="D48" s="347"/>
      <c r="E48" s="348"/>
      <c r="F48" s="1090"/>
    </row>
    <row r="49" spans="1:6" s="80" customFormat="1" ht="14.4">
      <c r="A49" s="345"/>
      <c r="B49" s="332" t="s">
        <v>376</v>
      </c>
      <c r="C49" s="346"/>
      <c r="D49" s="347"/>
      <c r="E49" s="348"/>
      <c r="F49" s="1090"/>
    </row>
    <row r="50" spans="1:6" s="80" customFormat="1" ht="28.8">
      <c r="A50" s="345">
        <v>10.15</v>
      </c>
      <c r="B50" s="212" t="s">
        <v>394</v>
      </c>
      <c r="C50" s="346" t="s">
        <v>162</v>
      </c>
      <c r="D50" s="347">
        <v>0.3</v>
      </c>
      <c r="E50" s="348"/>
      <c r="F50" s="1090">
        <f>D50*E50</f>
        <v>0</v>
      </c>
    </row>
    <row r="51" spans="1:6" s="80" customFormat="1" ht="43.2">
      <c r="A51" s="345">
        <v>10.16</v>
      </c>
      <c r="B51" s="212" t="s">
        <v>395</v>
      </c>
      <c r="C51" s="346" t="s">
        <v>163</v>
      </c>
      <c r="D51" s="347">
        <v>22</v>
      </c>
      <c r="E51" s="348"/>
      <c r="F51" s="1090">
        <f>D51*E51</f>
        <v>0</v>
      </c>
    </row>
    <row r="52" spans="1:6" s="80" customFormat="1" ht="14.4">
      <c r="A52" s="345"/>
      <c r="B52" s="212"/>
      <c r="C52" s="346"/>
      <c r="D52" s="347"/>
      <c r="E52" s="348"/>
      <c r="F52" s="1090">
        <f t="shared" ref="F52" si="0">D52*E52</f>
        <v>0</v>
      </c>
    </row>
    <row r="53" spans="1:6" s="80" customFormat="1" ht="14.4">
      <c r="A53" s="345"/>
      <c r="B53" s="212"/>
      <c r="C53" s="346"/>
      <c r="D53" s="347"/>
      <c r="E53" s="348"/>
      <c r="F53" s="1090"/>
    </row>
    <row r="54" spans="1:6" s="80" customFormat="1" ht="14.4">
      <c r="A54" s="350"/>
      <c r="B54" s="215" t="s">
        <v>302</v>
      </c>
      <c r="C54" s="350"/>
      <c r="D54" s="351"/>
      <c r="E54" s="350"/>
      <c r="F54" s="1091">
        <f>SUM(F28:F53)</f>
        <v>0</v>
      </c>
    </row>
    <row r="55" spans="1:6" s="80" customFormat="1" ht="14.4">
      <c r="A55" s="325"/>
      <c r="B55" s="325"/>
      <c r="C55" s="325"/>
      <c r="D55" s="326"/>
      <c r="E55" s="325"/>
      <c r="F55" s="1084"/>
    </row>
    <row r="56" spans="1:6" s="80" customFormat="1" ht="14.4">
      <c r="A56"/>
      <c r="B56"/>
      <c r="C56"/>
      <c r="D56" s="81"/>
      <c r="E56"/>
      <c r="F56" s="470"/>
    </row>
    <row r="57" spans="1:6" s="80" customFormat="1" ht="14.4">
      <c r="A57"/>
      <c r="B57"/>
      <c r="C57"/>
      <c r="D57" s="81"/>
      <c r="E57"/>
      <c r="F57" s="470"/>
    </row>
    <row r="58" spans="1:6" s="80" customFormat="1" ht="14.4">
      <c r="A58"/>
      <c r="B58"/>
      <c r="C58"/>
      <c r="D58" s="81"/>
      <c r="E58"/>
      <c r="F58" s="470"/>
    </row>
    <row r="59" spans="1:6" s="80" customFormat="1" ht="14.4">
      <c r="A59"/>
      <c r="B59"/>
      <c r="C59"/>
      <c r="D59" s="81"/>
      <c r="E59"/>
      <c r="F59" s="470"/>
    </row>
    <row r="60" spans="1:6" s="80" customFormat="1" ht="14.4">
      <c r="A60"/>
      <c r="B60"/>
      <c r="C60"/>
      <c r="D60" s="81"/>
      <c r="E60"/>
      <c r="F60" s="470"/>
    </row>
    <row r="61" spans="1:6" s="80" customFormat="1" ht="14.4">
      <c r="A61"/>
      <c r="B61"/>
      <c r="C61"/>
      <c r="D61" s="81"/>
      <c r="E61"/>
      <c r="F61" s="470"/>
    </row>
    <row r="62" spans="1:6" s="80" customFormat="1" ht="14.4">
      <c r="A62"/>
      <c r="B62"/>
      <c r="C62"/>
      <c r="D62" s="81"/>
      <c r="E62"/>
      <c r="F62" s="470"/>
    </row>
    <row r="63" spans="1:6" s="80" customFormat="1" ht="14.4">
      <c r="A63"/>
      <c r="B63"/>
      <c r="C63"/>
      <c r="D63" s="81"/>
      <c r="E63"/>
      <c r="F63" s="470"/>
    </row>
    <row r="64" spans="1:6" s="80" customFormat="1" ht="14.4">
      <c r="A64"/>
      <c r="B64"/>
      <c r="C64"/>
      <c r="D64" s="81"/>
      <c r="E64"/>
      <c r="F64" s="470"/>
    </row>
    <row r="65" spans="1:6" s="80" customFormat="1" ht="14.4">
      <c r="A65"/>
      <c r="B65"/>
      <c r="C65"/>
      <c r="D65" s="81"/>
      <c r="E65"/>
      <c r="F65" s="470"/>
    </row>
    <row r="66" spans="1:6" s="80" customFormat="1" ht="14.4">
      <c r="A66"/>
      <c r="B66"/>
      <c r="C66"/>
      <c r="D66" s="81"/>
      <c r="E66"/>
      <c r="F66" s="470"/>
    </row>
    <row r="67" spans="1:6" s="80" customFormat="1" ht="14.4">
      <c r="A67"/>
      <c r="B67"/>
      <c r="C67"/>
      <c r="D67" s="81"/>
      <c r="E67"/>
      <c r="F67" s="470"/>
    </row>
    <row r="68" spans="1:6" s="80" customFormat="1" ht="14.4">
      <c r="A68"/>
      <c r="B68"/>
      <c r="C68"/>
      <c r="D68" s="81"/>
      <c r="E68"/>
      <c r="F68" s="470"/>
    </row>
    <row r="69" spans="1:6" s="80" customFormat="1" ht="14.4">
      <c r="A69"/>
      <c r="B69"/>
      <c r="C69"/>
      <c r="D69" s="81"/>
      <c r="E69"/>
      <c r="F69" s="470"/>
    </row>
    <row r="70" spans="1:6" s="80" customFormat="1" ht="14.4">
      <c r="A70"/>
      <c r="B70"/>
      <c r="C70"/>
      <c r="D70" s="81"/>
      <c r="E70"/>
      <c r="F70" s="470"/>
    </row>
    <row r="71" spans="1:6" s="80" customFormat="1" ht="14.4">
      <c r="A71"/>
      <c r="B71"/>
      <c r="C71"/>
      <c r="D71" s="81"/>
      <c r="E71"/>
      <c r="F71" s="470"/>
    </row>
    <row r="72" spans="1:6" s="80" customFormat="1" ht="14.4">
      <c r="A72"/>
      <c r="B72"/>
      <c r="C72"/>
      <c r="D72" s="81"/>
      <c r="E72"/>
      <c r="F72" s="470"/>
    </row>
    <row r="73" spans="1:6" s="80" customFormat="1" ht="14.4">
      <c r="A73"/>
      <c r="B73"/>
      <c r="C73"/>
      <c r="D73" s="81"/>
      <c r="E73"/>
      <c r="F73" s="470"/>
    </row>
    <row r="74" spans="1:6" s="80" customFormat="1" ht="14.4">
      <c r="A74"/>
      <c r="B74"/>
      <c r="C74"/>
      <c r="D74" s="81"/>
      <c r="E74"/>
      <c r="F74" s="470"/>
    </row>
    <row r="75" spans="1:6" s="80" customFormat="1" ht="14.4">
      <c r="A75"/>
      <c r="B75"/>
      <c r="C75"/>
      <c r="D75" s="81"/>
      <c r="E75"/>
      <c r="F75" s="470"/>
    </row>
    <row r="76" spans="1:6" s="80" customFormat="1" ht="14.4">
      <c r="A76"/>
      <c r="B76"/>
      <c r="C76"/>
      <c r="D76" s="81"/>
      <c r="E76"/>
      <c r="F76" s="470"/>
    </row>
    <row r="77" spans="1:6" s="80" customFormat="1" ht="14.4">
      <c r="A77"/>
      <c r="B77"/>
      <c r="C77"/>
      <c r="D77" s="81"/>
      <c r="E77"/>
      <c r="F77" s="470"/>
    </row>
    <row r="78" spans="1:6" s="80" customFormat="1" ht="14.4">
      <c r="A78"/>
      <c r="B78"/>
      <c r="C78"/>
      <c r="D78" s="81"/>
      <c r="E78"/>
      <c r="F78" s="470"/>
    </row>
    <row r="79" spans="1:6" s="80" customFormat="1" ht="14.4">
      <c r="A79"/>
      <c r="B79"/>
      <c r="C79"/>
      <c r="D79" s="81"/>
      <c r="E79"/>
      <c r="F79" s="470"/>
    </row>
    <row r="80" spans="1:6" s="80" customFormat="1" ht="14.4">
      <c r="A80"/>
      <c r="B80"/>
      <c r="C80"/>
      <c r="D80" s="81"/>
      <c r="E80"/>
      <c r="F80" s="470"/>
    </row>
    <row r="81" spans="1:6" s="352" customFormat="1" ht="14.4">
      <c r="A81"/>
      <c r="B81"/>
      <c r="C81"/>
      <c r="D81" s="81"/>
      <c r="E81"/>
      <c r="F81" s="470"/>
    </row>
    <row r="82" spans="1:6" s="352" customFormat="1" ht="14.4">
      <c r="A82"/>
      <c r="B82"/>
      <c r="C82"/>
      <c r="D82" s="81"/>
      <c r="E82"/>
      <c r="F82" s="470"/>
    </row>
    <row r="83" spans="1:6" s="352" customFormat="1" ht="14.4">
      <c r="A83"/>
      <c r="B83"/>
      <c r="C83"/>
      <c r="D83" s="81"/>
      <c r="E83"/>
      <c r="F83" s="470"/>
    </row>
    <row r="84" spans="1:6" s="52" customFormat="1" ht="14.4">
      <c r="A84"/>
      <c r="B84"/>
      <c r="C84"/>
      <c r="D84" s="81"/>
      <c r="E84"/>
      <c r="F84" s="470"/>
    </row>
    <row r="85" spans="1:6" s="52" customFormat="1" ht="14.4">
      <c r="A85"/>
      <c r="B85"/>
      <c r="C85"/>
      <c r="D85" s="81"/>
      <c r="E85"/>
      <c r="F85" s="470"/>
    </row>
    <row r="86" spans="1:6" s="80" customFormat="1" ht="14.4">
      <c r="A86"/>
      <c r="B86"/>
      <c r="C86"/>
      <c r="D86" s="81"/>
      <c r="E86"/>
      <c r="F86" s="470"/>
    </row>
    <row r="87" spans="1:6" s="80" customFormat="1" ht="14.4">
      <c r="A87"/>
      <c r="B87"/>
      <c r="C87"/>
      <c r="D87" s="81"/>
      <c r="E87"/>
      <c r="F87" s="470"/>
    </row>
    <row r="88" spans="1:6" s="80" customFormat="1" ht="14.4">
      <c r="A88"/>
      <c r="B88"/>
      <c r="C88"/>
      <c r="D88" s="81"/>
      <c r="E88"/>
      <c r="F88" s="470"/>
    </row>
    <row r="89" spans="1:6" s="80" customFormat="1" ht="14.4">
      <c r="A89"/>
      <c r="B89"/>
      <c r="C89"/>
      <c r="D89" s="81"/>
      <c r="E89"/>
      <c r="F89" s="470"/>
    </row>
    <row r="90" spans="1:6" s="80" customFormat="1" ht="14.4">
      <c r="A90"/>
      <c r="B90"/>
      <c r="C90"/>
      <c r="D90" s="81"/>
      <c r="E90"/>
      <c r="F90" s="470"/>
    </row>
    <row r="91" spans="1:6" s="80" customFormat="1" ht="14.4">
      <c r="A91"/>
      <c r="B91"/>
      <c r="C91"/>
      <c r="D91" s="81"/>
      <c r="E91"/>
      <c r="F91" s="470"/>
    </row>
    <row r="92" spans="1:6" s="80" customFormat="1" ht="14.4">
      <c r="A92"/>
      <c r="B92"/>
      <c r="C92"/>
      <c r="D92" s="81"/>
      <c r="E92"/>
      <c r="F92" s="470"/>
    </row>
    <row r="93" spans="1:6" s="80" customFormat="1" ht="14.4">
      <c r="A93"/>
      <c r="B93"/>
      <c r="C93"/>
      <c r="D93" s="81"/>
      <c r="E93"/>
      <c r="F93" s="470"/>
    </row>
    <row r="94" spans="1:6" s="80" customFormat="1" ht="14.4">
      <c r="A94"/>
      <c r="B94"/>
      <c r="C94"/>
      <c r="D94" s="81"/>
      <c r="E94"/>
      <c r="F94" s="470"/>
    </row>
    <row r="95" spans="1:6" s="80" customFormat="1" ht="14.4">
      <c r="A95"/>
      <c r="B95"/>
      <c r="C95"/>
      <c r="D95" s="81"/>
      <c r="E95"/>
      <c r="F95" s="470"/>
    </row>
    <row r="96" spans="1:6" s="80" customFormat="1" ht="14.4">
      <c r="A96"/>
      <c r="B96"/>
      <c r="C96"/>
      <c r="D96" s="81"/>
      <c r="E96"/>
      <c r="F96" s="470"/>
    </row>
    <row r="97" spans="1:6" s="80" customFormat="1" ht="14.4">
      <c r="A97"/>
      <c r="B97"/>
      <c r="C97"/>
      <c r="D97" s="81"/>
      <c r="E97"/>
      <c r="F97" s="470"/>
    </row>
    <row r="98" spans="1:6" s="80" customFormat="1" ht="14.4">
      <c r="A98"/>
      <c r="B98"/>
      <c r="C98"/>
      <c r="D98" s="81"/>
      <c r="E98"/>
      <c r="F98" s="470"/>
    </row>
    <row r="99" spans="1:6" s="80" customFormat="1" ht="14.4">
      <c r="A99"/>
      <c r="B99"/>
      <c r="C99"/>
      <c r="D99" s="81"/>
      <c r="E99"/>
      <c r="F99" s="470"/>
    </row>
    <row r="100" spans="1:6" s="80" customFormat="1" ht="14.4">
      <c r="A100"/>
      <c r="B100"/>
      <c r="C100"/>
      <c r="D100" s="81"/>
      <c r="E100"/>
      <c r="F100" s="470"/>
    </row>
    <row r="101" spans="1:6" s="80" customFormat="1" ht="14.4">
      <c r="A101"/>
      <c r="B101"/>
      <c r="C101"/>
      <c r="D101" s="81"/>
      <c r="E101"/>
      <c r="F101" s="470"/>
    </row>
    <row r="102" spans="1:6" s="80" customFormat="1" ht="14.4">
      <c r="A102"/>
      <c r="B102"/>
      <c r="C102"/>
      <c r="D102" s="81"/>
      <c r="E102"/>
      <c r="F102" s="470"/>
    </row>
    <row r="103" spans="1:6" s="80" customFormat="1" ht="14.4">
      <c r="A103"/>
      <c r="B103"/>
      <c r="C103"/>
      <c r="D103" s="81"/>
      <c r="E103"/>
      <c r="F103" s="470"/>
    </row>
    <row r="104" spans="1:6" s="80" customFormat="1" ht="14.4">
      <c r="A104"/>
      <c r="B104"/>
      <c r="C104"/>
      <c r="D104" s="81"/>
      <c r="E104"/>
      <c r="F104" s="470"/>
    </row>
    <row r="105" spans="1:6" s="80" customFormat="1" ht="14.4">
      <c r="A105"/>
      <c r="B105"/>
      <c r="C105"/>
      <c r="D105" s="81"/>
      <c r="E105"/>
      <c r="F105" s="470"/>
    </row>
    <row r="106" spans="1:6" s="80" customFormat="1" ht="14.4">
      <c r="A106"/>
      <c r="B106"/>
      <c r="C106"/>
      <c r="D106" s="81"/>
      <c r="E106"/>
      <c r="F106" s="470"/>
    </row>
    <row r="107" spans="1:6" s="80" customFormat="1" ht="14.4">
      <c r="A107"/>
      <c r="B107"/>
      <c r="C107"/>
      <c r="D107" s="81"/>
      <c r="E107"/>
      <c r="F107" s="470"/>
    </row>
    <row r="108" spans="1:6" s="80" customFormat="1" ht="14.4">
      <c r="A108"/>
      <c r="B108"/>
      <c r="C108"/>
      <c r="D108" s="81"/>
      <c r="E108"/>
      <c r="F108" s="470"/>
    </row>
  </sheetData>
  <customSheetViews>
    <customSheetView guid="{58A41188-4CB9-4607-A927-9B98665919B2}" scale="112" showPageBreaks="1" view="pageBreakPreview" topLeftCell="A105">
      <selection activeCell="B188" sqref="B188"/>
      <rowBreaks count="4" manualBreakCount="4">
        <brk id="187" max="16383" man="1"/>
        <brk id="223" max="16383" man="1"/>
        <brk id="259" max="16383" man="1"/>
        <brk id="303" max="16383" man="1"/>
      </rowBreaks>
      <pageMargins left="0.7" right="0.7" top="0.75" bottom="0.75" header="0.3" footer="0.3"/>
      <pageSetup orientation="portrait" r:id="rId1"/>
    </customSheetView>
    <customSheetView guid="{1E933494-4ABB-4290-95BF-88ADDB331983}" scale="112" showPageBreaks="1" printArea="1" view="pageBreakPreview" topLeftCell="A197">
      <selection activeCell="D211" sqref="D211"/>
      <rowBreaks count="2" manualBreakCount="2">
        <brk id="38" max="5" man="1"/>
        <brk id="73" max="5" man="1"/>
      </rowBreaks>
      <pageMargins left="0.7" right="0.7" top="0.75" bottom="0.75" header="0.3" footer="0.3"/>
      <pageSetup paperSize="9" scale="98" orientation="portrait" r:id="rId2"/>
    </customSheetView>
  </customSheetViews>
  <pageMargins left="0.7" right="0.7" top="0.75" bottom="0.75" header="0.3" footer="0.3"/>
  <pageSetup orientation="portrait" r:id="rId3"/>
  <rowBreaks count="4" manualBreakCount="4">
    <brk id="26" max="16383" man="1"/>
    <brk id="71" max="16383" man="1"/>
    <brk id="107" max="16383" man="1"/>
    <brk id="15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BreakPreview" topLeftCell="A27" zoomScale="107" zoomScaleNormal="100" zoomScaleSheetLayoutView="107" workbookViewId="0">
      <selection activeCell="D13" sqref="D13"/>
    </sheetView>
  </sheetViews>
  <sheetFormatPr defaultColWidth="8.88671875" defaultRowHeight="13.2"/>
  <cols>
    <col min="1" max="1" width="7" style="698" customWidth="1"/>
    <col min="2" max="2" width="52.109375" style="698" customWidth="1"/>
    <col min="3" max="3" width="7" style="698" bestFit="1" customWidth="1"/>
    <col min="4" max="4" width="9.6640625" style="698" bestFit="1" customWidth="1"/>
    <col min="5" max="5" width="10.44140625" style="698" bestFit="1" customWidth="1"/>
    <col min="6" max="6" width="15.5546875" style="1098" bestFit="1" customWidth="1"/>
    <col min="7" max="16384" width="8.88671875" style="698"/>
  </cols>
  <sheetData>
    <row r="1" spans="1:6" s="1146" customFormat="1" ht="28.8">
      <c r="A1" s="692" t="s">
        <v>914</v>
      </c>
      <c r="B1" s="1142" t="s">
        <v>7</v>
      </c>
      <c r="C1" s="1142" t="s">
        <v>141</v>
      </c>
      <c r="D1" s="1143" t="s">
        <v>142</v>
      </c>
      <c r="E1" s="1144" t="s">
        <v>289</v>
      </c>
      <c r="F1" s="1145" t="s">
        <v>289</v>
      </c>
    </row>
    <row r="2" spans="1:6" s="697" customFormat="1" ht="14.4">
      <c r="A2" s="692">
        <v>4</v>
      </c>
      <c r="B2" s="610">
        <f>'1 Preliminaries '!I5</f>
        <v>0</v>
      </c>
      <c r="C2" s="693"/>
      <c r="D2" s="694"/>
      <c r="E2" s="695"/>
      <c r="F2" s="696"/>
    </row>
    <row r="3" spans="1:6" s="697" customFormat="1" ht="14.4">
      <c r="A3" s="692"/>
      <c r="B3" s="610" t="s">
        <v>924</v>
      </c>
      <c r="C3" s="693"/>
      <c r="D3" s="694"/>
      <c r="E3" s="695"/>
      <c r="F3" s="696"/>
    </row>
    <row r="4" spans="1:6" s="697" customFormat="1" ht="14.4">
      <c r="A4" s="692"/>
      <c r="B4" s="610"/>
      <c r="C4" s="693"/>
      <c r="D4" s="694"/>
      <c r="E4" s="695"/>
      <c r="F4" s="696"/>
    </row>
    <row r="5" spans="1:6" ht="14.4">
      <c r="A5" s="692"/>
      <c r="B5" s="610" t="s">
        <v>915</v>
      </c>
      <c r="C5" s="693"/>
      <c r="D5" s="694"/>
      <c r="E5" s="695"/>
      <c r="F5" s="696"/>
    </row>
    <row r="6" spans="1:6" s="691" customFormat="1" ht="14.4">
      <c r="A6" s="690"/>
      <c r="B6" s="699"/>
      <c r="C6" s="700"/>
      <c r="D6" s="701"/>
      <c r="E6" s="613"/>
      <c r="F6" s="702"/>
    </row>
    <row r="7" spans="1:6" ht="14.4">
      <c r="A7" s="706"/>
      <c r="B7" s="610" t="s">
        <v>916</v>
      </c>
      <c r="C7" s="704"/>
      <c r="D7" s="704"/>
      <c r="E7" s="704"/>
      <c r="F7" s="705"/>
    </row>
    <row r="8" spans="1:6" ht="14.4">
      <c r="A8" s="706"/>
      <c r="B8" s="703"/>
      <c r="C8" s="704"/>
      <c r="D8" s="704"/>
      <c r="E8" s="704"/>
      <c r="F8" s="705"/>
    </row>
    <row r="9" spans="1:6" ht="14.4">
      <c r="A9" s="706"/>
      <c r="B9" s="712" t="s">
        <v>917</v>
      </c>
      <c r="C9" s="704"/>
      <c r="D9" s="704"/>
      <c r="E9" s="704"/>
      <c r="F9" s="705"/>
    </row>
    <row r="10" spans="1:6" ht="16.2">
      <c r="A10" s="707">
        <v>13.3</v>
      </c>
      <c r="B10" s="585" t="s">
        <v>499</v>
      </c>
      <c r="C10" s="704" t="s">
        <v>278</v>
      </c>
      <c r="D10" s="704">
        <v>200</v>
      </c>
      <c r="E10" s="704"/>
      <c r="F10" s="1041">
        <f>D10*E10</f>
        <v>0</v>
      </c>
    </row>
    <row r="11" spans="1:6" ht="16.2">
      <c r="A11" s="707">
        <v>13.4</v>
      </c>
      <c r="B11" s="585" t="s">
        <v>918</v>
      </c>
      <c r="C11" s="704" t="s">
        <v>482</v>
      </c>
      <c r="D11" s="704">
        <f>200*0.31</f>
        <v>62</v>
      </c>
      <c r="E11" s="704"/>
      <c r="F11" s="1041">
        <f t="shared" ref="F11" si="0">D11*E11</f>
        <v>0</v>
      </c>
    </row>
    <row r="12" spans="1:6" ht="14.4">
      <c r="A12" s="707"/>
      <c r="B12" s="585"/>
      <c r="C12" s="704"/>
      <c r="D12" s="704"/>
      <c r="E12" s="704"/>
      <c r="F12" s="1041"/>
    </row>
    <row r="13" spans="1:6" ht="14.4">
      <c r="A13" s="707"/>
      <c r="B13" s="576" t="s">
        <v>500</v>
      </c>
      <c r="C13" s="704"/>
      <c r="D13" s="704"/>
      <c r="E13" s="704"/>
      <c r="F13" s="1092"/>
    </row>
    <row r="14" spans="1:6" ht="28.8">
      <c r="A14" s="707">
        <v>13.5</v>
      </c>
      <c r="B14" s="585" t="s">
        <v>501</v>
      </c>
      <c r="C14" s="704" t="s">
        <v>926</v>
      </c>
      <c r="D14" s="704">
        <f>200*0.1</f>
        <v>20</v>
      </c>
      <c r="E14" s="704"/>
      <c r="F14" s="1041">
        <f>D14*E14</f>
        <v>0</v>
      </c>
    </row>
    <row r="15" spans="1:6" ht="28.8">
      <c r="A15" s="707">
        <v>13.6</v>
      </c>
      <c r="B15" s="585" t="s">
        <v>502</v>
      </c>
      <c r="C15" s="704" t="s">
        <v>278</v>
      </c>
      <c r="D15" s="704">
        <v>200</v>
      </c>
      <c r="E15" s="704"/>
      <c r="F15" s="1041">
        <f>D15*E15</f>
        <v>0</v>
      </c>
    </row>
    <row r="16" spans="1:6" ht="14.4">
      <c r="A16" s="707"/>
      <c r="B16" s="585"/>
      <c r="C16" s="704"/>
      <c r="D16" s="704"/>
      <c r="E16" s="704"/>
      <c r="F16" s="1041"/>
    </row>
    <row r="17" spans="1:6" ht="16.2">
      <c r="A17" s="713">
        <v>13.9</v>
      </c>
      <c r="B17" s="585" t="s">
        <v>1204</v>
      </c>
      <c r="C17" s="704" t="s">
        <v>278</v>
      </c>
      <c r="D17" s="704">
        <v>200</v>
      </c>
      <c r="E17" s="704"/>
      <c r="F17" s="1041">
        <f>D17*E17</f>
        <v>0</v>
      </c>
    </row>
    <row r="18" spans="1:6" ht="14.4">
      <c r="A18" s="706"/>
      <c r="B18" s="576" t="s">
        <v>297</v>
      </c>
      <c r="C18" s="704"/>
      <c r="D18" s="704"/>
      <c r="E18" s="704"/>
      <c r="F18" s="1093"/>
    </row>
    <row r="19" spans="1:6" ht="14.4">
      <c r="A19" s="708"/>
      <c r="B19" s="709" t="s">
        <v>490</v>
      </c>
      <c r="C19" s="710"/>
      <c r="D19" s="711"/>
      <c r="E19" s="711"/>
      <c r="F19" s="1094">
        <f>SUM(F10:F18)</f>
        <v>0</v>
      </c>
    </row>
    <row r="20" spans="1:6" ht="14.4">
      <c r="A20" s="706"/>
      <c r="B20" s="703"/>
      <c r="C20" s="704"/>
      <c r="D20" s="704"/>
      <c r="E20" s="704"/>
      <c r="F20" s="705"/>
    </row>
    <row r="21" spans="1:6" ht="14.4">
      <c r="A21" s="706"/>
      <c r="B21" s="610" t="s">
        <v>922</v>
      </c>
      <c r="C21" s="704"/>
      <c r="D21" s="704"/>
      <c r="E21" s="704"/>
      <c r="F21" s="705"/>
    </row>
    <row r="22" spans="1:6" ht="14.4">
      <c r="A22" s="706"/>
      <c r="B22" s="703"/>
      <c r="C22" s="704"/>
      <c r="D22" s="704"/>
      <c r="E22" s="704"/>
      <c r="F22" s="705"/>
    </row>
    <row r="23" spans="1:6" ht="16.2">
      <c r="A23" s="706"/>
      <c r="B23" s="585" t="s">
        <v>919</v>
      </c>
      <c r="C23" s="704" t="s">
        <v>278</v>
      </c>
      <c r="D23" s="704">
        <v>583</v>
      </c>
      <c r="E23" s="704"/>
      <c r="F23" s="1041">
        <f t="shared" ref="F23" si="1">D23*E23</f>
        <v>0</v>
      </c>
    </row>
    <row r="24" spans="1:6" ht="14.4">
      <c r="A24" s="706"/>
      <c r="B24" s="703"/>
      <c r="C24" s="704"/>
      <c r="D24" s="704"/>
      <c r="E24" s="704"/>
      <c r="F24" s="705"/>
    </row>
    <row r="25" spans="1:6" ht="14.4">
      <c r="A25" s="706"/>
      <c r="B25" s="576" t="s">
        <v>920</v>
      </c>
      <c r="C25" s="704"/>
      <c r="D25" s="704"/>
      <c r="E25" s="704"/>
      <c r="F25" s="705"/>
    </row>
    <row r="26" spans="1:6" s="719" customFormat="1" ht="28.8">
      <c r="A26" s="716"/>
      <c r="B26" s="717" t="s">
        <v>921</v>
      </c>
      <c r="C26" s="718" t="s">
        <v>925</v>
      </c>
      <c r="D26" s="718">
        <v>583</v>
      </c>
      <c r="E26" s="718"/>
      <c r="F26" s="1095">
        <f>D26*E26</f>
        <v>0</v>
      </c>
    </row>
    <row r="27" spans="1:6" s="719" customFormat="1" ht="14.4">
      <c r="A27" s="716"/>
      <c r="B27" s="717"/>
      <c r="C27" s="718"/>
      <c r="D27" s="718"/>
      <c r="E27" s="718"/>
      <c r="F27" s="1095"/>
    </row>
    <row r="28" spans="1:6" ht="14.4">
      <c r="A28" s="708"/>
      <c r="B28" s="709" t="s">
        <v>490</v>
      </c>
      <c r="C28" s="710"/>
      <c r="D28" s="711"/>
      <c r="E28" s="711"/>
      <c r="F28" s="1094">
        <f>SUM(F23:F27)</f>
        <v>0</v>
      </c>
    </row>
    <row r="29" spans="1:6" ht="14.4">
      <c r="A29" s="706"/>
      <c r="B29" s="610"/>
      <c r="C29" s="704"/>
      <c r="D29" s="704"/>
      <c r="E29" s="704"/>
      <c r="F29" s="705"/>
    </row>
    <row r="30" spans="1:6" ht="14.4">
      <c r="A30" s="706"/>
      <c r="B30" s="703"/>
      <c r="C30" s="704"/>
      <c r="D30" s="704"/>
      <c r="E30" s="704"/>
      <c r="F30" s="705"/>
    </row>
    <row r="31" spans="1:6" ht="14.4">
      <c r="A31" s="556"/>
      <c r="B31" s="555" t="s">
        <v>461</v>
      </c>
      <c r="C31" s="554"/>
      <c r="D31" s="554"/>
      <c r="E31" s="554"/>
      <c r="F31" s="705"/>
    </row>
    <row r="32" spans="1:6" ht="14.4">
      <c r="A32" s="556"/>
      <c r="B32" s="554"/>
      <c r="C32" s="554"/>
      <c r="D32" s="554"/>
      <c r="E32" s="554"/>
      <c r="F32" s="705"/>
    </row>
    <row r="33" spans="1:6" ht="14.4">
      <c r="A33" s="556"/>
      <c r="B33" s="554"/>
      <c r="C33" s="554"/>
      <c r="D33" s="554"/>
      <c r="E33" s="554"/>
      <c r="F33" s="705"/>
    </row>
    <row r="34" spans="1:6" ht="14.4">
      <c r="A34" s="556">
        <v>2</v>
      </c>
      <c r="B34" s="554" t="str">
        <f>B7</f>
        <v>ELEMENT NO. 2: WALKWAYS</v>
      </c>
      <c r="C34" s="554"/>
      <c r="D34" s="554"/>
      <c r="E34" s="554"/>
      <c r="F34" s="705">
        <f>F19</f>
        <v>0</v>
      </c>
    </row>
    <row r="35" spans="1:6" ht="14.4">
      <c r="A35" s="556"/>
      <c r="B35" s="554"/>
      <c r="C35" s="554"/>
      <c r="D35" s="554"/>
      <c r="E35" s="554"/>
      <c r="F35" s="705"/>
    </row>
    <row r="36" spans="1:6" ht="14.4">
      <c r="A36" s="556">
        <v>3</v>
      </c>
      <c r="B36" s="558" t="str">
        <f>B21</f>
        <v>ELEMENT NO. 3: PARKING</v>
      </c>
      <c r="C36" s="554"/>
      <c r="D36" s="554"/>
      <c r="E36" s="554"/>
      <c r="F36" s="705">
        <f>F28</f>
        <v>0</v>
      </c>
    </row>
    <row r="37" spans="1:6" ht="14.4">
      <c r="A37" s="556"/>
      <c r="B37" s="554"/>
      <c r="C37" s="554"/>
      <c r="D37" s="554"/>
      <c r="E37" s="554"/>
      <c r="F37" s="705"/>
    </row>
    <row r="38" spans="1:6" ht="14.4">
      <c r="A38" s="556"/>
      <c r="B38" s="554"/>
      <c r="C38" s="554"/>
      <c r="D38" s="554"/>
      <c r="E38" s="554"/>
      <c r="F38" s="705"/>
    </row>
    <row r="39" spans="1:6" ht="14.4">
      <c r="A39" s="556"/>
      <c r="B39" s="554"/>
      <c r="C39" s="554"/>
      <c r="D39" s="554"/>
      <c r="E39" s="554"/>
      <c r="F39" s="705"/>
    </row>
    <row r="40" spans="1:6" ht="14.4">
      <c r="A40" s="557"/>
      <c r="B40" s="555" t="s">
        <v>302</v>
      </c>
      <c r="C40" s="555"/>
      <c r="D40" s="555"/>
      <c r="E40" s="555"/>
      <c r="F40" s="1096">
        <f>SUM(F33:F39)</f>
        <v>0</v>
      </c>
    </row>
    <row r="41" spans="1:6" ht="14.4">
      <c r="A41" s="714"/>
      <c r="B41" s="715"/>
      <c r="C41" s="715"/>
      <c r="D41" s="715"/>
      <c r="E41" s="715"/>
      <c r="F41" s="1097"/>
    </row>
    <row r="42" spans="1:6" ht="14.4">
      <c r="A42" s="706"/>
      <c r="B42" s="703"/>
      <c r="C42" s="704"/>
      <c r="D42" s="704"/>
      <c r="E42" s="704"/>
      <c r="F42" s="705"/>
    </row>
    <row r="43" spans="1:6" ht="14.4">
      <c r="A43" s="706"/>
      <c r="B43" s="703"/>
      <c r="C43" s="704"/>
      <c r="D43" s="704"/>
      <c r="E43" s="704"/>
      <c r="F43" s="705"/>
    </row>
    <row r="44" spans="1:6" ht="14.4">
      <c r="A44" s="706"/>
      <c r="B44" s="703"/>
      <c r="C44" s="704"/>
      <c r="D44" s="704"/>
      <c r="E44" s="704"/>
      <c r="F44" s="705"/>
    </row>
    <row r="45" spans="1:6" ht="14.4">
      <c r="A45" s="706"/>
      <c r="B45" s="703"/>
      <c r="C45" s="704"/>
      <c r="D45" s="704"/>
      <c r="E45" s="704"/>
      <c r="F45" s="705"/>
    </row>
    <row r="46" spans="1:6" ht="14.4">
      <c r="A46" s="706"/>
      <c r="B46" s="703"/>
      <c r="C46" s="704"/>
      <c r="D46" s="704"/>
      <c r="E46" s="704"/>
      <c r="F46" s="705"/>
    </row>
    <row r="47" spans="1:6" ht="14.4">
      <c r="A47" s="706"/>
      <c r="B47" s="703"/>
      <c r="C47" s="704"/>
      <c r="D47" s="704"/>
      <c r="E47" s="704"/>
      <c r="F47" s="705"/>
    </row>
    <row r="48" spans="1:6" ht="14.4">
      <c r="A48" s="706"/>
      <c r="B48" s="703"/>
      <c r="C48" s="704"/>
      <c r="D48" s="704"/>
      <c r="E48" s="704"/>
      <c r="F48" s="705"/>
    </row>
    <row r="49" spans="1:6" ht="14.4">
      <c r="A49" s="706"/>
      <c r="B49" s="703"/>
      <c r="C49" s="704"/>
      <c r="D49" s="704"/>
      <c r="E49" s="704"/>
      <c r="F49" s="705"/>
    </row>
    <row r="50" spans="1:6" ht="14.4">
      <c r="A50" s="706"/>
      <c r="B50" s="703"/>
      <c r="C50" s="704"/>
      <c r="D50" s="704"/>
      <c r="E50" s="704"/>
      <c r="F50" s="705"/>
    </row>
    <row r="51" spans="1:6" ht="14.4">
      <c r="A51" s="706"/>
      <c r="B51" s="703"/>
      <c r="C51" s="704"/>
      <c r="D51" s="704"/>
      <c r="E51" s="704"/>
      <c r="F51" s="705"/>
    </row>
    <row r="52" spans="1:6" ht="14.4">
      <c r="A52" s="706"/>
      <c r="B52" s="703"/>
      <c r="C52" s="704"/>
      <c r="D52" s="704"/>
      <c r="E52" s="704"/>
      <c r="F52" s="705"/>
    </row>
    <row r="53" spans="1:6" ht="14.4">
      <c r="A53" s="706"/>
      <c r="B53" s="703"/>
      <c r="C53" s="704"/>
      <c r="D53" s="704"/>
      <c r="E53" s="704"/>
      <c r="F53" s="705"/>
    </row>
    <row r="54" spans="1:6" ht="14.4">
      <c r="A54" s="706"/>
      <c r="B54" s="703"/>
      <c r="C54" s="704"/>
      <c r="D54" s="704"/>
      <c r="E54" s="704"/>
      <c r="F54" s="705"/>
    </row>
    <row r="55" spans="1:6" ht="14.4">
      <c r="A55" s="706"/>
      <c r="B55" s="703"/>
      <c r="C55" s="704"/>
      <c r="D55" s="704"/>
      <c r="E55" s="704"/>
      <c r="F55" s="705"/>
    </row>
    <row r="56" spans="1:6" ht="14.4">
      <c r="A56" s="706"/>
      <c r="B56" s="703"/>
      <c r="C56" s="704"/>
      <c r="D56" s="704"/>
      <c r="E56" s="704"/>
      <c r="F56" s="705"/>
    </row>
    <row r="57" spans="1:6" ht="14.4">
      <c r="A57" s="706"/>
      <c r="B57" s="703"/>
      <c r="C57" s="704"/>
      <c r="D57" s="704"/>
      <c r="E57" s="704"/>
      <c r="F57" s="705"/>
    </row>
    <row r="58" spans="1:6" ht="14.4">
      <c r="A58" s="706"/>
      <c r="B58" s="703"/>
      <c r="C58" s="704"/>
      <c r="D58" s="704"/>
      <c r="E58" s="704"/>
      <c r="F58" s="705"/>
    </row>
    <row r="59" spans="1:6" ht="14.4">
      <c r="A59" s="706"/>
      <c r="B59" s="703"/>
      <c r="C59" s="704"/>
      <c r="D59" s="704"/>
      <c r="E59" s="704"/>
      <c r="F59" s="705"/>
    </row>
    <row r="60" spans="1:6" ht="14.4">
      <c r="A60" s="706"/>
      <c r="B60" s="703"/>
      <c r="C60" s="704"/>
      <c r="D60" s="704"/>
      <c r="E60" s="704"/>
      <c r="F60" s="705"/>
    </row>
    <row r="61" spans="1:6" ht="14.4">
      <c r="A61" s="706"/>
      <c r="B61" s="703"/>
      <c r="C61" s="704"/>
      <c r="D61" s="704"/>
      <c r="E61" s="704"/>
      <c r="F61" s="705"/>
    </row>
    <row r="62" spans="1:6" ht="14.4">
      <c r="A62" s="706"/>
      <c r="B62" s="703"/>
      <c r="C62" s="704"/>
      <c r="D62" s="704"/>
      <c r="E62" s="704"/>
      <c r="F62" s="705"/>
    </row>
    <row r="63" spans="1:6" ht="14.4">
      <c r="A63" s="706"/>
      <c r="B63" s="703"/>
      <c r="C63" s="704"/>
      <c r="D63" s="704"/>
      <c r="E63" s="704"/>
      <c r="F63" s="705"/>
    </row>
    <row r="64" spans="1:6" ht="14.4">
      <c r="A64" s="706"/>
      <c r="B64" s="703"/>
      <c r="C64" s="704"/>
      <c r="D64" s="704"/>
      <c r="E64" s="704"/>
      <c r="F64" s="705"/>
    </row>
    <row r="65" spans="1:6" ht="14.4">
      <c r="A65" s="706"/>
      <c r="B65" s="703"/>
      <c r="C65" s="704"/>
      <c r="D65" s="704"/>
      <c r="E65" s="704"/>
      <c r="F65" s="705"/>
    </row>
    <row r="66" spans="1:6" ht="14.4">
      <c r="A66" s="706"/>
      <c r="B66" s="703"/>
      <c r="C66" s="704"/>
      <c r="D66" s="704"/>
      <c r="E66" s="704"/>
      <c r="F66" s="705"/>
    </row>
    <row r="67" spans="1:6" ht="14.4">
      <c r="A67" s="706"/>
      <c r="B67" s="703"/>
      <c r="C67" s="704"/>
      <c r="D67" s="704"/>
      <c r="E67" s="704"/>
      <c r="F67" s="705"/>
    </row>
    <row r="68" spans="1:6" ht="14.4">
      <c r="A68" s="706"/>
      <c r="B68" s="703"/>
      <c r="C68" s="704"/>
      <c r="D68" s="704"/>
      <c r="E68" s="704"/>
      <c r="F68" s="705"/>
    </row>
    <row r="69" spans="1:6" ht="14.4">
      <c r="A69" s="706"/>
      <c r="B69" s="703"/>
      <c r="C69" s="704"/>
      <c r="D69" s="704"/>
      <c r="E69" s="704"/>
      <c r="F69" s="705"/>
    </row>
    <row r="70" spans="1:6" ht="14.4">
      <c r="A70" s="706"/>
      <c r="B70" s="703"/>
      <c r="C70" s="704"/>
      <c r="D70" s="704"/>
      <c r="E70" s="704"/>
      <c r="F70" s="705"/>
    </row>
    <row r="71" spans="1:6" ht="14.4">
      <c r="A71" s="706"/>
      <c r="B71" s="703"/>
      <c r="C71" s="704"/>
      <c r="D71" s="704"/>
      <c r="E71" s="704"/>
      <c r="F71" s="705"/>
    </row>
    <row r="72" spans="1:6" ht="14.4">
      <c r="A72" s="706"/>
      <c r="B72" s="703"/>
      <c r="C72" s="704"/>
      <c r="D72" s="704"/>
      <c r="E72" s="704"/>
      <c r="F72" s="705"/>
    </row>
    <row r="73" spans="1:6" ht="14.4">
      <c r="A73" s="706"/>
      <c r="B73" s="703"/>
      <c r="C73" s="704"/>
      <c r="D73" s="704"/>
      <c r="E73" s="704"/>
      <c r="F73" s="705"/>
    </row>
    <row r="74" spans="1:6" ht="14.4">
      <c r="A74" s="706"/>
      <c r="B74" s="703"/>
      <c r="C74" s="704"/>
      <c r="D74" s="704"/>
      <c r="E74" s="704"/>
      <c r="F74" s="705"/>
    </row>
    <row r="75" spans="1:6" ht="14.4">
      <c r="A75" s="706"/>
      <c r="B75" s="703"/>
      <c r="C75" s="704"/>
      <c r="D75" s="704"/>
      <c r="E75" s="704"/>
      <c r="F75" s="705"/>
    </row>
  </sheetData>
  <pageMargins left="0.7" right="0.7" top="0.75" bottom="0.75" header="0.3" footer="0.3"/>
  <pageSetup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198"/>
  <sheetViews>
    <sheetView view="pageBreakPreview" zoomScale="102" zoomScaleNormal="100" zoomScaleSheetLayoutView="102" workbookViewId="0">
      <pane xSplit="1" ySplit="1" topLeftCell="B171" activePane="bottomRight" state="frozen"/>
      <selection pane="topRight" activeCell="B1" sqref="B1"/>
      <selection pane="bottomLeft" activeCell="A2" sqref="A2"/>
      <selection pane="bottomRight" activeCell="E138" sqref="E138"/>
    </sheetView>
  </sheetViews>
  <sheetFormatPr defaultColWidth="8.88671875" defaultRowHeight="14.4"/>
  <cols>
    <col min="1" max="1" width="7.5546875" style="377" bestFit="1" customWidth="1"/>
    <col min="2" max="2" width="59.109375" style="472" customWidth="1"/>
    <col min="3" max="3" width="5.33203125" style="472" bestFit="1" customWidth="1"/>
    <col min="4" max="4" width="7.5546875" style="377" bestFit="1" customWidth="1"/>
    <col min="5" max="5" width="7" style="377" bestFit="1" customWidth="1"/>
    <col min="6" max="6" width="13.33203125" style="1119" bestFit="1" customWidth="1"/>
    <col min="7" max="16384" width="8.88671875" style="472"/>
  </cols>
  <sheetData>
    <row r="1" spans="1:8">
      <c r="A1" s="59" t="s">
        <v>82</v>
      </c>
      <c r="B1" s="38" t="s">
        <v>7</v>
      </c>
      <c r="C1" s="37" t="s">
        <v>141</v>
      </c>
      <c r="D1" s="56" t="s">
        <v>142</v>
      </c>
      <c r="E1" s="57" t="s">
        <v>143</v>
      </c>
      <c r="F1" s="977" t="s">
        <v>289</v>
      </c>
    </row>
    <row r="2" spans="1:8">
      <c r="A2" s="60"/>
      <c r="B2" s="11">
        <f>'1 Preliminaries '!I5</f>
        <v>0</v>
      </c>
      <c r="C2" s="27"/>
      <c r="D2" s="32"/>
      <c r="E2" s="727"/>
      <c r="F2" s="1099"/>
    </row>
    <row r="3" spans="1:8">
      <c r="A3" s="60"/>
      <c r="B3" s="28" t="s">
        <v>937</v>
      </c>
      <c r="C3" s="27"/>
      <c r="D3" s="32"/>
      <c r="E3" s="727"/>
      <c r="F3" s="1099"/>
    </row>
    <row r="4" spans="1:8">
      <c r="A4" s="60"/>
      <c r="B4" s="28"/>
      <c r="C4" s="27"/>
      <c r="D4" s="32"/>
      <c r="E4" s="727"/>
      <c r="F4" s="1099"/>
    </row>
    <row r="5" spans="1:8">
      <c r="A5" s="358">
        <v>12</v>
      </c>
      <c r="B5" s="11" t="s">
        <v>929</v>
      </c>
      <c r="C5" s="12"/>
      <c r="D5" s="32"/>
      <c r="E5" s="728"/>
      <c r="F5" s="987"/>
    </row>
    <row r="6" spans="1:8">
      <c r="A6" s="358"/>
      <c r="B6" s="19"/>
      <c r="C6" s="12"/>
      <c r="D6" s="32"/>
      <c r="E6" s="728"/>
      <c r="F6" s="987"/>
    </row>
    <row r="7" spans="1:8">
      <c r="A7" s="358">
        <v>12.1</v>
      </c>
      <c r="B7" s="11" t="s">
        <v>290</v>
      </c>
      <c r="C7" s="12"/>
      <c r="D7" s="32"/>
      <c r="E7" s="728"/>
      <c r="F7" s="987"/>
    </row>
    <row r="8" spans="1:8" ht="16.2">
      <c r="A8" s="358" t="s">
        <v>938</v>
      </c>
      <c r="B8" s="16" t="s">
        <v>499</v>
      </c>
      <c r="C8" s="13" t="s">
        <v>278</v>
      </c>
      <c r="D8" s="32">
        <f>4.2*3*6.5</f>
        <v>81.900000000000006</v>
      </c>
      <c r="E8" s="728"/>
      <c r="F8" s="987">
        <f>D8*E8</f>
        <v>0</v>
      </c>
    </row>
    <row r="9" spans="1:8" ht="28.8">
      <c r="A9" s="754" t="s">
        <v>939</v>
      </c>
      <c r="B9" s="16" t="s">
        <v>291</v>
      </c>
      <c r="C9" s="13" t="s">
        <v>278</v>
      </c>
      <c r="D9" s="32">
        <f>D8</f>
        <v>81.900000000000006</v>
      </c>
      <c r="E9" s="728"/>
      <c r="F9" s="987">
        <f>D9*E9</f>
        <v>0</v>
      </c>
    </row>
    <row r="10" spans="1:8" ht="16.2">
      <c r="A10" s="358" t="s">
        <v>940</v>
      </c>
      <c r="B10" s="239" t="s">
        <v>972</v>
      </c>
      <c r="C10" s="13" t="s">
        <v>482</v>
      </c>
      <c r="D10" s="233">
        <f>CEILING((6.5*3+12.6*3)*0.4*0.4,1)</f>
        <v>10</v>
      </c>
      <c r="E10" s="729"/>
      <c r="F10" s="987">
        <f t="shared" ref="F10" si="0">D10*E10</f>
        <v>0</v>
      </c>
    </row>
    <row r="11" spans="1:8" ht="16.2">
      <c r="A11" s="358" t="s">
        <v>941</v>
      </c>
      <c r="B11" s="239" t="s">
        <v>1193</v>
      </c>
      <c r="C11" s="13" t="s">
        <v>278</v>
      </c>
      <c r="D11" s="233">
        <f>CEILING((6.5*3+12.6*3)*0.8,1)</f>
        <v>46</v>
      </c>
      <c r="E11" s="729"/>
      <c r="F11" s="987">
        <f>D11*E11</f>
        <v>0</v>
      </c>
      <c r="H11" s="472">
        <f>6.5*33</f>
        <v>214.5</v>
      </c>
    </row>
    <row r="12" spans="1:8">
      <c r="A12" s="358"/>
      <c r="B12" s="11" t="s">
        <v>500</v>
      </c>
      <c r="C12" s="13"/>
      <c r="D12" s="32"/>
      <c r="E12" s="728"/>
      <c r="F12" s="1100"/>
    </row>
    <row r="13" spans="1:8" ht="28.8">
      <c r="A13" s="358" t="s">
        <v>942</v>
      </c>
      <c r="B13" s="16" t="s">
        <v>501</v>
      </c>
      <c r="C13" s="13" t="s">
        <v>278</v>
      </c>
      <c r="D13" s="32">
        <f>D9</f>
        <v>81.900000000000006</v>
      </c>
      <c r="E13" s="728"/>
      <c r="F13" s="987">
        <f>D13*E13</f>
        <v>0</v>
      </c>
    </row>
    <row r="14" spans="1:8" ht="28.8">
      <c r="A14" s="358" t="s">
        <v>943</v>
      </c>
      <c r="B14" s="16" t="s">
        <v>502</v>
      </c>
      <c r="C14" s="13" t="s">
        <v>278</v>
      </c>
      <c r="D14" s="32">
        <f>D13</f>
        <v>81.900000000000006</v>
      </c>
      <c r="E14" s="728"/>
      <c r="F14" s="987">
        <f>D14*E14</f>
        <v>0</v>
      </c>
    </row>
    <row r="15" spans="1:8">
      <c r="A15" s="358"/>
      <c r="B15" s="11" t="s">
        <v>120</v>
      </c>
      <c r="C15" s="12"/>
      <c r="D15" s="32"/>
      <c r="E15" s="728"/>
      <c r="F15" s="987">
        <f t="shared" ref="F15:F18" si="1">D15*E15</f>
        <v>0</v>
      </c>
    </row>
    <row r="16" spans="1:8" ht="43.2">
      <c r="A16" s="358" t="s">
        <v>944</v>
      </c>
      <c r="B16" s="16" t="s">
        <v>483</v>
      </c>
      <c r="C16" s="13" t="s">
        <v>278</v>
      </c>
      <c r="D16" s="32">
        <f>D14</f>
        <v>81.900000000000006</v>
      </c>
      <c r="E16" s="728"/>
      <c r="F16" s="987">
        <f t="shared" si="1"/>
        <v>0</v>
      </c>
    </row>
    <row r="17" spans="1:6">
      <c r="A17" s="358"/>
      <c r="B17" s="11" t="s">
        <v>108</v>
      </c>
      <c r="C17" s="12"/>
      <c r="D17" s="32"/>
      <c r="E17" s="728"/>
      <c r="F17" s="987">
        <f t="shared" si="1"/>
        <v>0</v>
      </c>
    </row>
    <row r="18" spans="1:6" ht="43.2">
      <c r="A18" s="358" t="s">
        <v>945</v>
      </c>
      <c r="B18" s="16" t="s">
        <v>503</v>
      </c>
      <c r="C18" s="13" t="s">
        <v>278</v>
      </c>
      <c r="D18" s="32">
        <f>D16</f>
        <v>81.900000000000006</v>
      </c>
      <c r="E18" s="728"/>
      <c r="F18" s="987">
        <f t="shared" si="1"/>
        <v>0</v>
      </c>
    </row>
    <row r="19" spans="1:6">
      <c r="A19" s="358"/>
      <c r="B19" s="11" t="s">
        <v>284</v>
      </c>
      <c r="C19" s="12"/>
      <c r="D19" s="32"/>
      <c r="E19" s="728"/>
      <c r="F19" s="987">
        <f>D19*E19</f>
        <v>0</v>
      </c>
    </row>
    <row r="20" spans="1:6" ht="28.8">
      <c r="A20" s="358" t="s">
        <v>946</v>
      </c>
      <c r="B20" s="16" t="s">
        <v>1077</v>
      </c>
      <c r="C20" s="13" t="s">
        <v>285</v>
      </c>
      <c r="D20" s="32">
        <v>82</v>
      </c>
      <c r="E20" s="728"/>
      <c r="F20" s="987">
        <f>D20*E20</f>
        <v>0</v>
      </c>
    </row>
    <row r="21" spans="1:6">
      <c r="A21" s="358"/>
      <c r="B21" s="11" t="s">
        <v>293</v>
      </c>
      <c r="C21" s="13"/>
      <c r="D21" s="13"/>
      <c r="E21" s="33"/>
      <c r="F21" s="979">
        <f>D21*E21</f>
        <v>0</v>
      </c>
    </row>
    <row r="22" spans="1:6" s="15" customFormat="1" ht="28.8">
      <c r="A22" s="758"/>
      <c r="B22" s="759" t="s">
        <v>977</v>
      </c>
      <c r="C22" s="760"/>
      <c r="D22" s="761"/>
      <c r="E22" s="760"/>
      <c r="F22" s="981"/>
    </row>
    <row r="23" spans="1:6" s="15" customFormat="1">
      <c r="A23" s="758" t="s">
        <v>519</v>
      </c>
      <c r="B23" s="762" t="s">
        <v>976</v>
      </c>
      <c r="C23" s="760" t="s">
        <v>102</v>
      </c>
      <c r="D23" s="761">
        <f>(CEILING((63.4+8.2+18.4*5.9*4)/0.2*1.1*0.395,1)+CEILING((63.4+8.2+18.4*5.9*4)*3*1.15*0.395,1)+CEILING(19*1.1*3*0.395,1))/2</f>
        <v>907</v>
      </c>
      <c r="E23" s="760"/>
      <c r="F23" s="981">
        <f>E23*D23</f>
        <v>0</v>
      </c>
    </row>
    <row r="24" spans="1:6" s="15" customFormat="1">
      <c r="A24" s="870"/>
      <c r="B24" s="762" t="s">
        <v>1202</v>
      </c>
      <c r="C24" s="760" t="s">
        <v>102</v>
      </c>
      <c r="D24" s="761">
        <f>(CEILING((63.4+8.2+18.4*5.9*4)/0.2*0.8*0.617,1))/2</f>
        <v>624.5</v>
      </c>
      <c r="E24" s="760"/>
      <c r="F24" s="981">
        <f>E24*D24</f>
        <v>0</v>
      </c>
    </row>
    <row r="25" spans="1:6" s="15" customFormat="1">
      <c r="A25" s="758" t="s">
        <v>520</v>
      </c>
      <c r="B25" s="762" t="s">
        <v>973</v>
      </c>
      <c r="C25" s="760" t="s">
        <v>102</v>
      </c>
      <c r="D25" s="761">
        <f>(CEILING((63.4+8.2+18.4*5.9*4)*4*1.15*0.888,1)+CEILING(19*2*4*0.888,1))/2</f>
        <v>1101</v>
      </c>
      <c r="E25" s="760"/>
      <c r="F25" s="981">
        <f>E25*D25</f>
        <v>0</v>
      </c>
    </row>
    <row r="26" spans="1:6" ht="28.8">
      <c r="A26" s="358" t="s">
        <v>947</v>
      </c>
      <c r="B26" s="16" t="s">
        <v>294</v>
      </c>
      <c r="C26" s="13" t="s">
        <v>278</v>
      </c>
      <c r="D26" s="32">
        <f>D18</f>
        <v>81.900000000000006</v>
      </c>
      <c r="E26" s="728"/>
      <c r="F26" s="987">
        <f>D26*E26</f>
        <v>0</v>
      </c>
    </row>
    <row r="27" spans="1:6">
      <c r="A27" s="358"/>
      <c r="B27" s="19" t="s">
        <v>295</v>
      </c>
      <c r="C27" s="12"/>
      <c r="D27" s="32"/>
      <c r="E27" s="728"/>
      <c r="F27" s="987"/>
    </row>
    <row r="28" spans="1:6">
      <c r="A28" s="358"/>
      <c r="B28" s="34" t="s">
        <v>153</v>
      </c>
      <c r="C28" s="12"/>
      <c r="D28" s="32"/>
      <c r="E28" s="728"/>
      <c r="F28" s="987">
        <f>D28*E28</f>
        <v>0</v>
      </c>
    </row>
    <row r="29" spans="1:6" ht="16.2">
      <c r="A29" s="358" t="s">
        <v>948</v>
      </c>
      <c r="B29" s="16" t="s">
        <v>296</v>
      </c>
      <c r="C29" s="13" t="s">
        <v>482</v>
      </c>
      <c r="D29" s="32">
        <f>CEILING(D18*0.15,1)</f>
        <v>13</v>
      </c>
      <c r="E29" s="728"/>
      <c r="F29" s="987">
        <f>D29*E29</f>
        <v>0</v>
      </c>
    </row>
    <row r="30" spans="1:6" ht="16.2">
      <c r="A30" s="358" t="s">
        <v>1078</v>
      </c>
      <c r="B30" s="16" t="s">
        <v>1079</v>
      </c>
      <c r="C30" s="13" t="s">
        <v>482</v>
      </c>
      <c r="D30" s="730">
        <f>CEILING((63.4+8.2+18.4*5.9*4)*0.2*0.6,1)/2</f>
        <v>30.5</v>
      </c>
      <c r="E30" s="728"/>
      <c r="F30" s="987">
        <f t="shared" ref="F30:F31" si="2">D30*E30</f>
        <v>0</v>
      </c>
    </row>
    <row r="31" spans="1:6" ht="16.2">
      <c r="A31" s="358" t="s">
        <v>949</v>
      </c>
      <c r="B31" s="884" t="s">
        <v>1203</v>
      </c>
      <c r="C31" s="13" t="s">
        <v>482</v>
      </c>
      <c r="D31" s="730">
        <f>CEILING((63.4+8.2+18.4*5.9*4)*0.2*0.4,1)/2</f>
        <v>20.5</v>
      </c>
      <c r="E31" s="728"/>
      <c r="F31" s="987">
        <f t="shared" si="2"/>
        <v>0</v>
      </c>
    </row>
    <row r="32" spans="1:6">
      <c r="A32" s="358"/>
      <c r="B32" s="19" t="s">
        <v>460</v>
      </c>
      <c r="C32" s="20"/>
      <c r="D32" s="731"/>
      <c r="E32" s="732"/>
      <c r="F32" s="1101">
        <f>SUM(F4:F31)</f>
        <v>0</v>
      </c>
    </row>
    <row r="33" spans="1:8">
      <c r="A33" s="724"/>
      <c r="B33" s="725"/>
      <c r="C33" s="726"/>
      <c r="D33" s="733"/>
      <c r="E33" s="734"/>
      <c r="F33" s="1102"/>
    </row>
    <row r="34" spans="1:8">
      <c r="A34" s="724"/>
      <c r="B34" s="725"/>
      <c r="C34" s="726"/>
      <c r="D34" s="733"/>
      <c r="E34" s="734"/>
      <c r="F34" s="1102"/>
    </row>
    <row r="35" spans="1:8">
      <c r="A35" s="724"/>
      <c r="B35" s="725"/>
      <c r="C35" s="726"/>
      <c r="D35" s="733"/>
      <c r="E35" s="734"/>
      <c r="F35" s="1102"/>
    </row>
    <row r="36" spans="1:8">
      <c r="A36" s="724"/>
      <c r="B36" s="725"/>
      <c r="C36" s="726"/>
      <c r="D36" s="733"/>
      <c r="E36" s="734"/>
      <c r="F36" s="1102"/>
    </row>
    <row r="37" spans="1:8">
      <c r="A37" s="724"/>
      <c r="B37" s="725"/>
      <c r="C37" s="726"/>
      <c r="D37" s="733"/>
      <c r="E37" s="734"/>
      <c r="F37" s="1102"/>
    </row>
    <row r="38" spans="1:8" s="114" customFormat="1">
      <c r="A38" s="105" t="s">
        <v>82</v>
      </c>
      <c r="B38" s="106" t="s">
        <v>7</v>
      </c>
      <c r="C38" s="107" t="s">
        <v>141</v>
      </c>
      <c r="D38" s="108" t="s">
        <v>142</v>
      </c>
      <c r="E38" s="109" t="s">
        <v>143</v>
      </c>
      <c r="F38" s="1013" t="s">
        <v>289</v>
      </c>
      <c r="G38" s="113"/>
    </row>
    <row r="39" spans="1:8" s="786" customFormat="1">
      <c r="A39" s="774">
        <v>2.2000000000000002</v>
      </c>
      <c r="B39" s="782" t="s">
        <v>1039</v>
      </c>
      <c r="C39" s="783"/>
      <c r="D39" s="784"/>
      <c r="E39" s="785"/>
      <c r="F39" s="985"/>
    </row>
    <row r="40" spans="1:8" s="69" customFormat="1">
      <c r="A40" s="887"/>
      <c r="B40" s="888" t="s">
        <v>984</v>
      </c>
      <c r="C40" s="889"/>
      <c r="D40" s="890"/>
      <c r="E40" s="889"/>
      <c r="F40" s="1103"/>
    </row>
    <row r="41" spans="1:8" s="893" customFormat="1">
      <c r="A41" s="891" t="s">
        <v>440</v>
      </c>
      <c r="B41" s="16" t="s">
        <v>998</v>
      </c>
      <c r="C41" s="892" t="s">
        <v>97</v>
      </c>
      <c r="D41" s="735">
        <f>CEILING((6.5*3+12.6*3)*0.4*0.4,1)</f>
        <v>10</v>
      </c>
      <c r="E41" s="892"/>
      <c r="F41" s="1104">
        <f>E41*D41</f>
        <v>0</v>
      </c>
      <c r="H41" s="893">
        <f>(174.3*0.4*0.45)+(92.15*0.4*0.45)</f>
        <v>47.961000000000013</v>
      </c>
    </row>
    <row r="42" spans="1:8" s="893" customFormat="1">
      <c r="A42" s="964"/>
      <c r="B42" s="16" t="s">
        <v>1197</v>
      </c>
      <c r="C42" s="892" t="s">
        <v>97</v>
      </c>
      <c r="D42" s="32">
        <f>CEILING(D31*0.15,1)</f>
        <v>4</v>
      </c>
      <c r="E42" s="728"/>
      <c r="F42" s="987">
        <f>D42*E42</f>
        <v>0</v>
      </c>
    </row>
    <row r="43" spans="1:8" s="893" customFormat="1">
      <c r="A43" s="964"/>
      <c r="B43" s="958" t="s">
        <v>1205</v>
      </c>
      <c r="C43" s="892" t="s">
        <v>97</v>
      </c>
      <c r="D43" s="32">
        <f>CEILING(10*0.2*0.4*3.3,1)</f>
        <v>3</v>
      </c>
      <c r="E43" s="728"/>
      <c r="F43" s="987">
        <f>D43*E43</f>
        <v>0</v>
      </c>
    </row>
    <row r="44" spans="1:8" s="69" customFormat="1">
      <c r="A44" s="887"/>
      <c r="B44" s="888" t="s">
        <v>377</v>
      </c>
      <c r="C44" s="889"/>
      <c r="D44" s="890"/>
      <c r="E44" s="889"/>
      <c r="F44" s="1103"/>
    </row>
    <row r="45" spans="1:8" s="69" customFormat="1">
      <c r="A45" s="887"/>
      <c r="B45" s="888" t="s">
        <v>378</v>
      </c>
      <c r="C45" s="889"/>
      <c r="D45" s="890"/>
      <c r="E45" s="889"/>
      <c r="F45" s="1103"/>
    </row>
    <row r="46" spans="1:8" s="69" customFormat="1">
      <c r="A46" s="887" t="s">
        <v>441</v>
      </c>
      <c r="B46" s="894" t="s">
        <v>985</v>
      </c>
      <c r="C46" s="889" t="s">
        <v>102</v>
      </c>
      <c r="D46" s="110">
        <f>(141+271)/2</f>
        <v>206</v>
      </c>
      <c r="E46" s="889"/>
      <c r="F46" s="1103">
        <f>E46*D46</f>
        <v>0</v>
      </c>
      <c r="G46" s="69">
        <f>D46*110</f>
        <v>22660</v>
      </c>
    </row>
    <row r="47" spans="1:8" s="69" customFormat="1">
      <c r="A47" s="887" t="s">
        <v>453</v>
      </c>
      <c r="B47" s="894" t="s">
        <v>986</v>
      </c>
      <c r="C47" s="889" t="s">
        <v>102</v>
      </c>
      <c r="D47" s="110">
        <f>(237+647)/2</f>
        <v>442</v>
      </c>
      <c r="E47" s="889"/>
      <c r="F47" s="1103">
        <f>E47*D47</f>
        <v>0</v>
      </c>
    </row>
    <row r="48" spans="1:8" s="69" customFormat="1">
      <c r="A48" s="963"/>
      <c r="B48" s="894" t="s">
        <v>1195</v>
      </c>
      <c r="C48" s="889" t="s">
        <v>102</v>
      </c>
      <c r="D48" s="110">
        <f>147/2</f>
        <v>73.5</v>
      </c>
      <c r="E48" s="889"/>
      <c r="F48" s="1103">
        <f>E48*D48</f>
        <v>0</v>
      </c>
    </row>
    <row r="49" spans="1:6" s="69" customFormat="1">
      <c r="A49" s="887"/>
      <c r="B49" s="895" t="s">
        <v>987</v>
      </c>
      <c r="C49" s="889"/>
      <c r="D49" s="890"/>
      <c r="E49" s="889"/>
      <c r="F49" s="1103"/>
    </row>
    <row r="50" spans="1:6" s="69" customFormat="1">
      <c r="A50" s="887" t="s">
        <v>454</v>
      </c>
      <c r="B50" s="894" t="s">
        <v>988</v>
      </c>
      <c r="C50" s="889" t="s">
        <v>2</v>
      </c>
      <c r="D50" s="886">
        <v>250</v>
      </c>
      <c r="E50" s="889"/>
      <c r="F50" s="1103">
        <f>D50*E50</f>
        <v>0</v>
      </c>
    </row>
    <row r="51" spans="1:6" s="856" customFormat="1">
      <c r="A51" s="896"/>
      <c r="B51" s="896" t="s">
        <v>989</v>
      </c>
      <c r="C51" s="897"/>
      <c r="D51" s="898"/>
      <c r="E51" s="897"/>
      <c r="F51" s="1105">
        <f>SUM(F39:F50)</f>
        <v>0</v>
      </c>
    </row>
    <row r="52" spans="1:6" s="856" customFormat="1">
      <c r="A52" s="885"/>
      <c r="B52" s="885"/>
      <c r="C52" s="899"/>
      <c r="D52" s="900"/>
      <c r="E52" s="899"/>
      <c r="F52" s="1106"/>
    </row>
    <row r="53" spans="1:6" s="69" customFormat="1">
      <c r="A53" s="901">
        <v>2.2999999999999998</v>
      </c>
      <c r="B53" s="895" t="s">
        <v>1072</v>
      </c>
      <c r="C53" s="889"/>
      <c r="D53" s="890"/>
      <c r="E53" s="889"/>
      <c r="F53" s="1103"/>
    </row>
    <row r="54" spans="1:6" s="69" customFormat="1">
      <c r="A54" s="887"/>
      <c r="B54" s="888"/>
      <c r="C54" s="889"/>
      <c r="D54" s="890"/>
      <c r="E54" s="889"/>
      <c r="F54" s="1103"/>
    </row>
    <row r="55" spans="1:6" s="69" customFormat="1">
      <c r="A55" s="887"/>
      <c r="B55" s="902"/>
      <c r="C55" s="889"/>
      <c r="D55" s="890"/>
      <c r="E55" s="889"/>
      <c r="F55" s="1103"/>
    </row>
    <row r="56" spans="1:6" s="69" customFormat="1" ht="43.2">
      <c r="A56" s="887"/>
      <c r="B56" s="800" t="s">
        <v>1190</v>
      </c>
      <c r="C56" s="889"/>
      <c r="D56" s="735"/>
      <c r="E56" s="889"/>
      <c r="F56" s="1103"/>
    </row>
    <row r="57" spans="1:6" s="69" customFormat="1">
      <c r="A57" s="887"/>
      <c r="B57" s="759"/>
      <c r="C57" s="889"/>
      <c r="D57" s="890"/>
      <c r="E57" s="889"/>
      <c r="F57" s="1103"/>
    </row>
    <row r="58" spans="1:6" s="69" customFormat="1" ht="14.25" customHeight="1">
      <c r="A58" s="887" t="s">
        <v>455</v>
      </c>
      <c r="B58" s="762" t="s">
        <v>1191</v>
      </c>
      <c r="C58" s="889" t="s">
        <v>2</v>
      </c>
      <c r="D58" s="801">
        <f>CEILING(38.2*3,1)</f>
        <v>115</v>
      </c>
      <c r="E58" s="889"/>
      <c r="F58" s="1103">
        <f>E58*D58</f>
        <v>0</v>
      </c>
    </row>
    <row r="59" spans="1:6" s="69" customFormat="1">
      <c r="A59" s="887" t="s">
        <v>456</v>
      </c>
      <c r="B59" s="762" t="s">
        <v>992</v>
      </c>
      <c r="C59" s="889" t="s">
        <v>2</v>
      </c>
      <c r="D59" s="801">
        <f>CEILING(6.1*2*3,1)</f>
        <v>37</v>
      </c>
      <c r="E59" s="889"/>
      <c r="F59" s="1103">
        <f>E59*D59</f>
        <v>0</v>
      </c>
    </row>
    <row r="60" spans="1:6" s="69" customFormat="1">
      <c r="A60" s="887" t="s">
        <v>457</v>
      </c>
      <c r="B60" s="888" t="s">
        <v>994</v>
      </c>
      <c r="C60" s="889"/>
      <c r="D60" s="890"/>
      <c r="E60" s="889"/>
      <c r="F60" s="1103"/>
    </row>
    <row r="61" spans="1:6" s="69" customFormat="1">
      <c r="A61" s="887" t="s">
        <v>457</v>
      </c>
      <c r="B61" s="894" t="s">
        <v>996</v>
      </c>
      <c r="C61" s="889" t="s">
        <v>3</v>
      </c>
      <c r="D61" s="801">
        <f>CEILING(6.1*2,1)</f>
        <v>13</v>
      </c>
      <c r="E61" s="889"/>
      <c r="F61" s="1103">
        <f>E61*D61</f>
        <v>0</v>
      </c>
    </row>
    <row r="62" spans="1:6" s="69" customFormat="1">
      <c r="A62" s="887" t="s">
        <v>458</v>
      </c>
      <c r="B62" s="894" t="s">
        <v>1196</v>
      </c>
      <c r="C62" s="889" t="s">
        <v>3</v>
      </c>
      <c r="D62" s="801">
        <f>CEILING(38.2,1)</f>
        <v>39</v>
      </c>
      <c r="E62" s="889"/>
      <c r="F62" s="1103">
        <f>E62*D62</f>
        <v>0</v>
      </c>
    </row>
    <row r="63" spans="1:6" s="69" customFormat="1">
      <c r="A63" s="887"/>
      <c r="B63" s="896" t="s">
        <v>997</v>
      </c>
      <c r="C63" s="897"/>
      <c r="D63" s="890"/>
      <c r="E63" s="889"/>
      <c r="F63" s="1105">
        <f>SUM(F54:F62)</f>
        <v>0</v>
      </c>
    </row>
    <row r="64" spans="1:6" s="69" customFormat="1">
      <c r="A64" s="903"/>
      <c r="B64" s="904"/>
      <c r="C64" s="905"/>
      <c r="D64" s="906"/>
      <c r="E64" s="907"/>
      <c r="F64" s="1107"/>
    </row>
    <row r="65" spans="1:198" s="119" customFormat="1" ht="15.6">
      <c r="A65" s="365">
        <v>12.4</v>
      </c>
      <c r="B65" s="124" t="s">
        <v>1082</v>
      </c>
      <c r="C65" s="121"/>
      <c r="D65" s="737"/>
      <c r="E65" s="736"/>
      <c r="F65" s="1108"/>
      <c r="G65" s="117"/>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X65" s="118"/>
      <c r="FY65" s="118"/>
      <c r="FZ65" s="118"/>
      <c r="GA65" s="118"/>
      <c r="GB65" s="118"/>
      <c r="GC65" s="118"/>
      <c r="GD65" s="118"/>
      <c r="GE65" s="118"/>
      <c r="GF65" s="118"/>
      <c r="GG65" s="118"/>
      <c r="GH65" s="118"/>
      <c r="GI65" s="118"/>
      <c r="GJ65" s="118"/>
      <c r="GK65" s="118"/>
      <c r="GL65" s="118"/>
      <c r="GM65" s="118"/>
      <c r="GN65" s="118"/>
      <c r="GO65" s="118"/>
      <c r="GP65" s="118"/>
    </row>
    <row r="66" spans="1:198" s="133" customFormat="1" ht="31.2">
      <c r="A66" s="367" t="s">
        <v>5</v>
      </c>
      <c r="B66" s="120" t="s">
        <v>413</v>
      </c>
      <c r="C66" s="131" t="s">
        <v>5</v>
      </c>
      <c r="D66" s="740"/>
      <c r="E66" s="740"/>
      <c r="F66" s="1109"/>
      <c r="G66" s="132"/>
    </row>
    <row r="67" spans="1:198" s="119" customFormat="1" ht="31.2">
      <c r="A67" s="366" t="s">
        <v>950</v>
      </c>
      <c r="B67" s="122" t="s">
        <v>414</v>
      </c>
      <c r="C67" s="121" t="s">
        <v>2</v>
      </c>
      <c r="D67" s="738">
        <f>7.1*2*12.3</f>
        <v>174.66</v>
      </c>
      <c r="E67" s="736"/>
      <c r="F67" s="1108">
        <f>D67*E67</f>
        <v>0</v>
      </c>
      <c r="G67" s="117"/>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c r="EO67" s="118"/>
      <c r="EP67" s="118"/>
      <c r="EQ67" s="118"/>
      <c r="ER67" s="118"/>
      <c r="ES67" s="118"/>
      <c r="ET67" s="118"/>
      <c r="EU67" s="118"/>
      <c r="EV67" s="118"/>
      <c r="EW67" s="118"/>
      <c r="EX67" s="118"/>
      <c r="EY67" s="118"/>
      <c r="EZ67" s="118"/>
      <c r="FA67" s="118"/>
      <c r="FB67" s="118"/>
      <c r="FC67" s="118"/>
      <c r="FD67" s="118"/>
      <c r="FE67" s="118"/>
      <c r="FF67" s="118"/>
      <c r="FG67" s="118"/>
      <c r="FH67" s="118"/>
      <c r="FI67" s="118"/>
      <c r="FJ67" s="118"/>
      <c r="FK67" s="118"/>
      <c r="FL67" s="118"/>
      <c r="FM67" s="118"/>
      <c r="FN67" s="118"/>
      <c r="FO67" s="118"/>
      <c r="FP67" s="118"/>
      <c r="FQ67" s="118"/>
      <c r="FR67" s="118"/>
      <c r="FS67" s="118"/>
      <c r="FT67" s="118"/>
      <c r="FU67" s="118"/>
      <c r="FV67" s="118"/>
      <c r="FW67" s="118"/>
      <c r="FX67" s="118"/>
      <c r="FY67" s="118"/>
      <c r="FZ67" s="118"/>
      <c r="GA67" s="118"/>
      <c r="GB67" s="118"/>
      <c r="GC67" s="118"/>
      <c r="GD67" s="118"/>
      <c r="GE67" s="118"/>
      <c r="GF67" s="118"/>
      <c r="GG67" s="118"/>
      <c r="GH67" s="118"/>
      <c r="GI67" s="118"/>
      <c r="GJ67" s="118"/>
      <c r="GK67" s="118"/>
      <c r="GL67" s="118"/>
      <c r="GM67" s="118"/>
      <c r="GN67" s="118"/>
      <c r="GO67" s="118"/>
      <c r="GP67" s="118"/>
    </row>
    <row r="68" spans="1:198" s="133" customFormat="1" ht="15.6">
      <c r="A68" s="366" t="s">
        <v>951</v>
      </c>
      <c r="B68" s="131" t="s">
        <v>488</v>
      </c>
      <c r="C68" s="131" t="s">
        <v>3</v>
      </c>
      <c r="D68" s="740">
        <v>253</v>
      </c>
      <c r="E68" s="740"/>
      <c r="F68" s="1108">
        <f t="shared" ref="F68:F73" si="3">D68*E68</f>
        <v>0</v>
      </c>
      <c r="G68" s="132">
        <f>D68/5*3*1.1</f>
        <v>166.98000000000002</v>
      </c>
    </row>
    <row r="69" spans="1:198" s="133" customFormat="1" ht="15.6">
      <c r="A69" s="366" t="s">
        <v>952</v>
      </c>
      <c r="B69" s="131" t="s">
        <v>487</v>
      </c>
      <c r="C69" s="131" t="s">
        <v>3</v>
      </c>
      <c r="D69" s="740">
        <v>160</v>
      </c>
      <c r="E69" s="740"/>
      <c r="F69" s="1108">
        <f t="shared" si="3"/>
        <v>0</v>
      </c>
      <c r="G69" s="132">
        <f t="shared" ref="G69:G73" si="4">D69/5*3*1.1</f>
        <v>105.60000000000001</v>
      </c>
    </row>
    <row r="70" spans="1:198" s="133" customFormat="1" ht="15.6">
      <c r="A70" s="366" t="s">
        <v>953</v>
      </c>
      <c r="B70" s="131" t="s">
        <v>138</v>
      </c>
      <c r="C70" s="131" t="s">
        <v>3</v>
      </c>
      <c r="D70" s="740">
        <v>190</v>
      </c>
      <c r="E70" s="740"/>
      <c r="F70" s="1108">
        <f t="shared" si="3"/>
        <v>0</v>
      </c>
      <c r="G70" s="132">
        <f t="shared" si="4"/>
        <v>125.4</v>
      </c>
    </row>
    <row r="71" spans="1:198" s="133" customFormat="1" ht="15.6">
      <c r="A71" s="366" t="s">
        <v>954</v>
      </c>
      <c r="B71" s="131" t="s">
        <v>159</v>
      </c>
      <c r="C71" s="131" t="s">
        <v>3</v>
      </c>
      <c r="D71" s="740">
        <v>33</v>
      </c>
      <c r="E71" s="740"/>
      <c r="F71" s="1108">
        <f t="shared" si="3"/>
        <v>0</v>
      </c>
      <c r="G71" s="132">
        <f t="shared" si="4"/>
        <v>21.779999999999998</v>
      </c>
    </row>
    <row r="72" spans="1:198" s="133" customFormat="1" ht="15.6">
      <c r="A72" s="366" t="s">
        <v>955</v>
      </c>
      <c r="B72" s="131" t="s">
        <v>415</v>
      </c>
      <c r="C72" s="131" t="s">
        <v>3</v>
      </c>
      <c r="D72" s="740">
        <v>25</v>
      </c>
      <c r="E72" s="740"/>
      <c r="F72" s="1108">
        <f t="shared" si="3"/>
        <v>0</v>
      </c>
      <c r="G72" s="132">
        <f t="shared" si="4"/>
        <v>16.5</v>
      </c>
    </row>
    <row r="73" spans="1:198" s="133" customFormat="1" ht="15.6">
      <c r="A73" s="366" t="s">
        <v>956</v>
      </c>
      <c r="B73" s="131" t="s">
        <v>333</v>
      </c>
      <c r="C73" s="131" t="s">
        <v>3</v>
      </c>
      <c r="D73" s="740">
        <v>14</v>
      </c>
      <c r="E73" s="740"/>
      <c r="F73" s="1108">
        <f t="shared" si="3"/>
        <v>0</v>
      </c>
      <c r="G73" s="132">
        <f t="shared" si="4"/>
        <v>9.2399999999999984</v>
      </c>
    </row>
    <row r="74" spans="1:198" s="133" customFormat="1" ht="15.6">
      <c r="A74" s="367" t="s">
        <v>5</v>
      </c>
      <c r="B74" s="134" t="s">
        <v>368</v>
      </c>
      <c r="C74" s="131" t="s">
        <v>5</v>
      </c>
      <c r="D74" s="740" t="s">
        <v>5</v>
      </c>
      <c r="E74" s="740"/>
      <c r="F74" s="1017"/>
      <c r="G74" s="132"/>
    </row>
    <row r="75" spans="1:198" s="133" customFormat="1" ht="15.6">
      <c r="A75" s="367" t="s">
        <v>957</v>
      </c>
      <c r="B75" s="131" t="s">
        <v>369</v>
      </c>
      <c r="C75" s="131" t="s">
        <v>5</v>
      </c>
      <c r="D75" s="740" t="s">
        <v>5</v>
      </c>
      <c r="E75" s="740"/>
      <c r="F75" s="1017"/>
      <c r="G75" s="132"/>
    </row>
    <row r="76" spans="1:198" s="133" customFormat="1" ht="15.6">
      <c r="A76" s="367" t="s">
        <v>958</v>
      </c>
      <c r="B76" s="131" t="s">
        <v>416</v>
      </c>
      <c r="C76" s="131" t="s">
        <v>2</v>
      </c>
      <c r="D76" s="740">
        <v>23</v>
      </c>
      <c r="E76" s="740"/>
      <c r="F76" s="1017">
        <f t="shared" ref="F76:F136" si="5">E76*D76</f>
        <v>0</v>
      </c>
      <c r="G76" s="132">
        <f>12.3*2*0.6+6.5*0.6*2</f>
        <v>22.56</v>
      </c>
    </row>
    <row r="77" spans="1:198" s="133" customFormat="1" ht="12.6" customHeight="1">
      <c r="A77" s="367" t="s">
        <v>959</v>
      </c>
      <c r="B77" s="131" t="s">
        <v>370</v>
      </c>
      <c r="C77" s="131" t="s">
        <v>3</v>
      </c>
      <c r="D77" s="740">
        <f>12.3*2+4.2*2</f>
        <v>33</v>
      </c>
      <c r="E77" s="740"/>
      <c r="F77" s="1017">
        <f t="shared" si="5"/>
        <v>0</v>
      </c>
      <c r="G77" s="132"/>
    </row>
    <row r="78" spans="1:198" s="133" customFormat="1" ht="15.6">
      <c r="A78" s="368" t="s">
        <v>5</v>
      </c>
      <c r="B78" s="120" t="s">
        <v>116</v>
      </c>
      <c r="C78" s="131" t="s">
        <v>5</v>
      </c>
      <c r="D78" s="740" t="s">
        <v>5</v>
      </c>
      <c r="E78" s="740"/>
      <c r="F78" s="1017"/>
      <c r="G78" s="132"/>
    </row>
    <row r="79" spans="1:198" s="133" customFormat="1" ht="31.2">
      <c r="A79" s="368" t="s">
        <v>1086</v>
      </c>
      <c r="B79" s="131" t="s">
        <v>417</v>
      </c>
      <c r="C79" s="131" t="s">
        <v>2</v>
      </c>
      <c r="D79" s="740">
        <f>D76</f>
        <v>23</v>
      </c>
      <c r="E79" s="740"/>
      <c r="F79" s="1017">
        <f t="shared" si="5"/>
        <v>0</v>
      </c>
      <c r="G79" s="132"/>
    </row>
    <row r="80" spans="1:198" s="133" customFormat="1" ht="31.2">
      <c r="A80" s="368" t="s">
        <v>1087</v>
      </c>
      <c r="B80" s="131" t="s">
        <v>371</v>
      </c>
      <c r="C80" s="131" t="s">
        <v>3</v>
      </c>
      <c r="D80" s="740">
        <f>D77</f>
        <v>33</v>
      </c>
      <c r="E80" s="740"/>
      <c r="F80" s="1017">
        <f t="shared" si="5"/>
        <v>0</v>
      </c>
      <c r="G80" s="132"/>
    </row>
    <row r="81" spans="1:198" s="133" customFormat="1" ht="15.6">
      <c r="A81" s="368" t="s">
        <v>5</v>
      </c>
      <c r="B81" s="134" t="s">
        <v>334</v>
      </c>
      <c r="C81" s="131" t="s">
        <v>5</v>
      </c>
      <c r="D81" s="740" t="s">
        <v>5</v>
      </c>
      <c r="E81" s="740"/>
      <c r="F81" s="1017"/>
      <c r="G81" s="132"/>
    </row>
    <row r="82" spans="1:198" s="133" customFormat="1" ht="31.95" customHeight="1">
      <c r="A82" s="368" t="s">
        <v>1088</v>
      </c>
      <c r="B82" s="131" t="s">
        <v>418</v>
      </c>
      <c r="C82" s="131" t="s">
        <v>3</v>
      </c>
      <c r="D82" s="740">
        <f>D80</f>
        <v>33</v>
      </c>
      <c r="E82" s="740"/>
      <c r="F82" s="1017">
        <f t="shared" si="5"/>
        <v>0</v>
      </c>
      <c r="G82" s="132"/>
    </row>
    <row r="83" spans="1:198" s="133" customFormat="1" ht="15.6">
      <c r="A83" s="367" t="s">
        <v>5</v>
      </c>
      <c r="B83" s="134" t="s">
        <v>304</v>
      </c>
      <c r="C83" s="131" t="s">
        <v>5</v>
      </c>
      <c r="D83" s="740" t="s">
        <v>5</v>
      </c>
      <c r="E83" s="740"/>
      <c r="F83" s="1017"/>
      <c r="G83" s="132"/>
    </row>
    <row r="84" spans="1:198" s="133" customFormat="1" ht="31.2">
      <c r="A84" s="367" t="s">
        <v>1089</v>
      </c>
      <c r="B84" s="131" t="s">
        <v>160</v>
      </c>
      <c r="C84" s="131" t="s">
        <v>3</v>
      </c>
      <c r="D84" s="740">
        <f>3*4</f>
        <v>12</v>
      </c>
      <c r="E84" s="740"/>
      <c r="F84" s="1017">
        <f t="shared" si="5"/>
        <v>0</v>
      </c>
      <c r="G84" s="132"/>
    </row>
    <row r="85" spans="1:198" s="133" customFormat="1" ht="15" customHeight="1">
      <c r="A85" s="367" t="s">
        <v>1090</v>
      </c>
      <c r="B85" s="131" t="s">
        <v>335</v>
      </c>
      <c r="C85" s="131" t="s">
        <v>118</v>
      </c>
      <c r="D85" s="740">
        <v>4</v>
      </c>
      <c r="E85" s="740"/>
      <c r="F85" s="1017">
        <f t="shared" si="5"/>
        <v>0</v>
      </c>
      <c r="G85" s="132"/>
    </row>
    <row r="86" spans="1:198" s="133" customFormat="1" ht="19.2" customHeight="1">
      <c r="A86" s="367" t="s">
        <v>1091</v>
      </c>
      <c r="B86" s="131" t="s">
        <v>336</v>
      </c>
      <c r="C86" s="131" t="s">
        <v>118</v>
      </c>
      <c r="D86" s="740">
        <f>D85</f>
        <v>4</v>
      </c>
      <c r="E86" s="740"/>
      <c r="F86" s="1017">
        <f t="shared" si="5"/>
        <v>0</v>
      </c>
      <c r="G86" s="132"/>
    </row>
    <row r="87" spans="1:198" s="133" customFormat="1" ht="16.95" customHeight="1">
      <c r="A87" s="367" t="s">
        <v>1092</v>
      </c>
      <c r="B87" s="131" t="s">
        <v>337</v>
      </c>
      <c r="C87" s="131" t="s">
        <v>5</v>
      </c>
      <c r="D87" s="740" t="s">
        <v>5</v>
      </c>
      <c r="E87" s="740"/>
      <c r="F87" s="1017"/>
      <c r="G87" s="132"/>
    </row>
    <row r="88" spans="1:198">
      <c r="A88" s="59" t="s">
        <v>82</v>
      </c>
      <c r="B88" s="38" t="s">
        <v>7</v>
      </c>
      <c r="C88" s="37" t="s">
        <v>141</v>
      </c>
      <c r="D88" s="56" t="s">
        <v>142</v>
      </c>
      <c r="E88" s="57" t="s">
        <v>143</v>
      </c>
      <c r="F88" s="977" t="s">
        <v>289</v>
      </c>
    </row>
    <row r="89" spans="1:198" s="133" customFormat="1" ht="19.2" customHeight="1">
      <c r="A89" s="367" t="s">
        <v>1093</v>
      </c>
      <c r="B89" s="131" t="s">
        <v>338</v>
      </c>
      <c r="C89" s="131" t="s">
        <v>3</v>
      </c>
      <c r="D89" s="740">
        <f>D82</f>
        <v>33</v>
      </c>
      <c r="E89" s="740"/>
      <c r="F89" s="1017">
        <f t="shared" si="5"/>
        <v>0</v>
      </c>
      <c r="G89" s="132"/>
    </row>
    <row r="90" spans="1:198" s="133" customFormat="1" ht="16.95" customHeight="1">
      <c r="A90" s="367" t="s">
        <v>1094</v>
      </c>
      <c r="B90" s="131" t="s">
        <v>419</v>
      </c>
      <c r="C90" s="131" t="s">
        <v>3</v>
      </c>
      <c r="D90" s="740">
        <f>D89</f>
        <v>33</v>
      </c>
      <c r="E90" s="740"/>
      <c r="F90" s="1017">
        <f t="shared" si="5"/>
        <v>0</v>
      </c>
      <c r="G90" s="132"/>
    </row>
    <row r="91" spans="1:198" s="145" customFormat="1" ht="15.6">
      <c r="A91" s="369"/>
      <c r="B91" s="134" t="s">
        <v>1081</v>
      </c>
      <c r="C91" s="134"/>
      <c r="D91" s="142"/>
      <c r="E91" s="142"/>
      <c r="F91" s="1018">
        <f>SUM(F67:F90)</f>
        <v>0</v>
      </c>
      <c r="G91" s="144"/>
    </row>
    <row r="92" spans="1:198" s="145" customFormat="1" ht="15.6">
      <c r="A92" s="915"/>
      <c r="B92" s="916"/>
      <c r="C92" s="916"/>
      <c r="D92" s="917"/>
      <c r="E92" s="917"/>
      <c r="F92" s="1019"/>
      <c r="G92" s="144"/>
    </row>
    <row r="93" spans="1:198" s="119" customFormat="1" ht="15.6">
      <c r="A93" s="932">
        <v>12.5</v>
      </c>
      <c r="B93" s="124" t="s">
        <v>1083</v>
      </c>
      <c r="C93" s="126"/>
      <c r="D93" s="739"/>
      <c r="E93" s="370"/>
      <c r="F93" s="1017">
        <f t="shared" si="5"/>
        <v>0</v>
      </c>
      <c r="G93" s="117"/>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c r="EC93" s="118"/>
      <c r="ED93" s="118"/>
      <c r="EE93" s="118"/>
      <c r="EF93" s="118"/>
      <c r="EG93" s="118"/>
      <c r="EH93" s="118"/>
      <c r="EI93" s="118"/>
      <c r="EJ93" s="118"/>
      <c r="EK93" s="118"/>
      <c r="EL93" s="118"/>
      <c r="EM93" s="118"/>
      <c r="EN93" s="118"/>
      <c r="EO93" s="118"/>
      <c r="EP93" s="118"/>
      <c r="EQ93" s="118"/>
      <c r="ER93" s="118"/>
      <c r="ES93" s="118"/>
      <c r="ET93" s="118"/>
      <c r="EU93" s="118"/>
      <c r="EV93" s="118"/>
      <c r="EW93" s="118"/>
      <c r="EX93" s="118"/>
      <c r="EY93" s="118"/>
      <c r="EZ93" s="118"/>
      <c r="FA93" s="118"/>
      <c r="FB93" s="118"/>
      <c r="FC93" s="118"/>
      <c r="FD93" s="118"/>
      <c r="FE93" s="118"/>
      <c r="FF93" s="118"/>
      <c r="FG93" s="118"/>
      <c r="FH93" s="118"/>
      <c r="FI93" s="118"/>
      <c r="FJ93" s="118"/>
      <c r="FK93" s="118"/>
      <c r="FL93" s="118"/>
      <c r="FM93" s="118"/>
      <c r="FN93" s="118"/>
      <c r="FO93" s="118"/>
      <c r="FP93" s="118"/>
      <c r="FQ93" s="118"/>
      <c r="FR93" s="118"/>
      <c r="FS93" s="118"/>
      <c r="FT93" s="118"/>
      <c r="FU93" s="118"/>
      <c r="FV93" s="118"/>
      <c r="FW93" s="118"/>
      <c r="FX93" s="118"/>
      <c r="FY93" s="118"/>
      <c r="FZ93" s="118"/>
      <c r="GA93" s="118"/>
      <c r="GB93" s="118"/>
      <c r="GC93" s="118"/>
      <c r="GD93" s="118"/>
      <c r="GE93" s="118"/>
      <c r="GF93" s="118"/>
      <c r="GG93" s="118"/>
      <c r="GH93" s="118"/>
      <c r="GI93" s="118"/>
      <c r="GJ93" s="118"/>
      <c r="GK93" s="118"/>
      <c r="GL93" s="118"/>
      <c r="GM93" s="118"/>
      <c r="GN93" s="118"/>
      <c r="GO93" s="118"/>
      <c r="GP93" s="118"/>
    </row>
    <row r="94" spans="1:198" s="119" customFormat="1" ht="31.2">
      <c r="A94" s="371" t="s">
        <v>960</v>
      </c>
      <c r="B94" s="131" t="s">
        <v>522</v>
      </c>
      <c r="C94" s="136" t="s">
        <v>118</v>
      </c>
      <c r="D94" s="741">
        <v>3</v>
      </c>
      <c r="E94" s="741"/>
      <c r="F94" s="1017">
        <f t="shared" si="5"/>
        <v>0</v>
      </c>
      <c r="G94" s="117"/>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c r="EC94" s="118"/>
      <c r="ED94" s="118"/>
      <c r="EE94" s="118"/>
      <c r="EF94" s="118"/>
      <c r="EG94" s="118"/>
      <c r="EH94" s="118"/>
      <c r="EI94" s="118"/>
      <c r="EJ94" s="118"/>
      <c r="EK94" s="118"/>
      <c r="EL94" s="118"/>
      <c r="EM94" s="118"/>
      <c r="EN94" s="118"/>
      <c r="EO94" s="118"/>
      <c r="EP94" s="118"/>
      <c r="EQ94" s="118"/>
      <c r="ER94" s="118"/>
      <c r="ES94" s="118"/>
      <c r="ET94" s="118"/>
      <c r="EU94" s="118"/>
      <c r="EV94" s="118"/>
      <c r="EW94" s="118"/>
      <c r="EX94" s="118"/>
      <c r="EY94" s="118"/>
      <c r="EZ94" s="118"/>
      <c r="FA94" s="118"/>
      <c r="FB94" s="118"/>
      <c r="FC94" s="118"/>
      <c r="FD94" s="118"/>
      <c r="FE94" s="118"/>
      <c r="FF94" s="118"/>
      <c r="FG94" s="118"/>
      <c r="FH94" s="118"/>
      <c r="FI94" s="118"/>
      <c r="FJ94" s="118"/>
      <c r="FK94" s="118"/>
      <c r="FL94" s="118"/>
      <c r="FM94" s="118"/>
      <c r="FN94" s="118"/>
      <c r="FO94" s="118"/>
      <c r="FP94" s="118"/>
      <c r="FQ94" s="118"/>
      <c r="FR94" s="118"/>
      <c r="FS94" s="118"/>
      <c r="FT94" s="118"/>
      <c r="FU94" s="118"/>
      <c r="FV94" s="118"/>
      <c r="FW94" s="118"/>
      <c r="FX94" s="118"/>
      <c r="FY94" s="118"/>
      <c r="FZ94" s="118"/>
      <c r="GA94" s="118"/>
      <c r="GB94" s="118"/>
      <c r="GC94" s="118"/>
      <c r="GD94" s="118"/>
      <c r="GE94" s="118"/>
      <c r="GF94" s="118"/>
      <c r="GG94" s="118"/>
      <c r="GH94" s="118"/>
      <c r="GI94" s="118"/>
      <c r="GJ94" s="118"/>
      <c r="GK94" s="118"/>
      <c r="GL94" s="118"/>
      <c r="GM94" s="118"/>
      <c r="GN94" s="118"/>
      <c r="GO94" s="118"/>
      <c r="GP94" s="118"/>
    </row>
    <row r="95" spans="1:198" s="133" customFormat="1" ht="31.2">
      <c r="A95" s="371" t="s">
        <v>1095</v>
      </c>
      <c r="B95" s="131" t="s">
        <v>523</v>
      </c>
      <c r="C95" s="136" t="s">
        <v>118</v>
      </c>
      <c r="D95" s="741">
        <v>4</v>
      </c>
      <c r="E95" s="741"/>
      <c r="F95" s="1017">
        <f t="shared" si="5"/>
        <v>0</v>
      </c>
      <c r="G95" s="132"/>
    </row>
    <row r="96" spans="1:198" s="133" customFormat="1" ht="31.2">
      <c r="A96" s="371" t="s">
        <v>1096</v>
      </c>
      <c r="B96" s="131" t="s">
        <v>420</v>
      </c>
      <c r="C96" s="136" t="s">
        <v>3</v>
      </c>
      <c r="D96" s="741">
        <f>CEILING(5.1*D94,1)</f>
        <v>16</v>
      </c>
      <c r="E96" s="741"/>
      <c r="F96" s="1017">
        <f t="shared" si="5"/>
        <v>0</v>
      </c>
      <c r="G96" s="132"/>
    </row>
    <row r="97" spans="1:198" s="133" customFormat="1" ht="15.6">
      <c r="A97" s="371" t="s">
        <v>1097</v>
      </c>
      <c r="B97" s="131" t="s">
        <v>421</v>
      </c>
      <c r="C97" s="136" t="s">
        <v>3</v>
      </c>
      <c r="D97" s="741">
        <f>D96*2</f>
        <v>32</v>
      </c>
      <c r="E97" s="741"/>
      <c r="F97" s="1017">
        <f t="shared" si="5"/>
        <v>0</v>
      </c>
      <c r="G97" s="132"/>
    </row>
    <row r="98" spans="1:198" s="133" customFormat="1" ht="15.6">
      <c r="A98" s="371" t="s">
        <v>1098</v>
      </c>
      <c r="B98" s="131" t="s">
        <v>422</v>
      </c>
      <c r="C98" s="136" t="s">
        <v>3</v>
      </c>
      <c r="D98" s="741">
        <f>D97</f>
        <v>32</v>
      </c>
      <c r="E98" s="741"/>
      <c r="F98" s="1017">
        <f t="shared" si="5"/>
        <v>0</v>
      </c>
      <c r="G98" s="132"/>
    </row>
    <row r="99" spans="1:198" s="133" customFormat="1" ht="15.6">
      <c r="A99" s="371" t="s">
        <v>5</v>
      </c>
      <c r="B99" s="134" t="s">
        <v>423</v>
      </c>
      <c r="C99" s="136" t="s">
        <v>5</v>
      </c>
      <c r="D99" s="741" t="s">
        <v>5</v>
      </c>
      <c r="E99" s="741"/>
      <c r="F99" s="1017"/>
      <c r="G99" s="132"/>
    </row>
    <row r="100" spans="1:198" s="133" customFormat="1" ht="31.2">
      <c r="A100" s="371" t="s">
        <v>1099</v>
      </c>
      <c r="B100" s="131" t="s">
        <v>424</v>
      </c>
      <c r="C100" s="136" t="s">
        <v>5</v>
      </c>
      <c r="D100" s="741" t="s">
        <v>5</v>
      </c>
      <c r="E100" s="741"/>
      <c r="F100" s="1017"/>
      <c r="G100" s="132"/>
    </row>
    <row r="101" spans="1:198" s="133" customFormat="1" ht="15.6">
      <c r="A101" s="371" t="s">
        <v>1100</v>
      </c>
      <c r="B101" s="131" t="s">
        <v>425</v>
      </c>
      <c r="C101" s="136" t="s">
        <v>118</v>
      </c>
      <c r="D101" s="741">
        <v>3</v>
      </c>
      <c r="E101" s="741"/>
      <c r="F101" s="1017">
        <f t="shared" si="5"/>
        <v>0</v>
      </c>
      <c r="G101" s="132"/>
    </row>
    <row r="102" spans="1:198" s="133" customFormat="1" ht="15.6">
      <c r="A102" s="371" t="s">
        <v>1101</v>
      </c>
      <c r="B102" s="388" t="s">
        <v>426</v>
      </c>
      <c r="C102" s="389" t="s">
        <v>427</v>
      </c>
      <c r="D102" s="742">
        <f>D94*3/2</f>
        <v>4.5</v>
      </c>
      <c r="E102" s="742"/>
      <c r="F102" s="1020">
        <f t="shared" si="5"/>
        <v>0</v>
      </c>
      <c r="G102" s="132"/>
    </row>
    <row r="103" spans="1:198" s="133" customFormat="1" ht="15.6">
      <c r="A103" s="371" t="s">
        <v>1102</v>
      </c>
      <c r="B103" s="131" t="s">
        <v>428</v>
      </c>
      <c r="C103" s="136" t="s">
        <v>118</v>
      </c>
      <c r="D103" s="741">
        <f>D101</f>
        <v>3</v>
      </c>
      <c r="E103" s="741"/>
      <c r="F103" s="1017">
        <f t="shared" si="5"/>
        <v>0</v>
      </c>
      <c r="G103" s="132"/>
    </row>
    <row r="104" spans="1:198" s="133" customFormat="1" ht="15.6">
      <c r="A104" s="371" t="s">
        <v>5</v>
      </c>
      <c r="B104" s="134" t="s">
        <v>429</v>
      </c>
      <c r="C104" s="136" t="s">
        <v>5</v>
      </c>
      <c r="D104" s="741" t="s">
        <v>5</v>
      </c>
      <c r="E104" s="741"/>
      <c r="F104" s="1017"/>
      <c r="G104" s="132"/>
    </row>
    <row r="105" spans="1:198" s="133" customFormat="1" ht="31.2">
      <c r="A105" s="371" t="s">
        <v>1103</v>
      </c>
      <c r="B105" s="131" t="s">
        <v>430</v>
      </c>
      <c r="C105" s="136" t="s">
        <v>140</v>
      </c>
      <c r="D105" s="741" t="s">
        <v>281</v>
      </c>
      <c r="E105" s="741"/>
      <c r="F105" s="1017">
        <f>E105</f>
        <v>0</v>
      </c>
      <c r="G105" s="132"/>
    </row>
    <row r="106" spans="1:198" s="145" customFormat="1" ht="15.6">
      <c r="A106" s="936"/>
      <c r="B106" s="914" t="s">
        <v>1123</v>
      </c>
      <c r="C106" s="937"/>
      <c r="D106" s="938"/>
      <c r="E106" s="938"/>
      <c r="F106" s="1019">
        <f>SUM(F94:F105)</f>
        <v>0</v>
      </c>
      <c r="G106" s="144"/>
    </row>
    <row r="107" spans="1:198" s="133" customFormat="1" ht="15.6">
      <c r="A107" s="933"/>
      <c r="B107" s="908"/>
      <c r="C107" s="934"/>
      <c r="D107" s="935"/>
      <c r="E107" s="935"/>
      <c r="F107" s="1021"/>
      <c r="G107" s="132"/>
    </row>
    <row r="108" spans="1:198" s="129" customFormat="1" ht="15.6">
      <c r="A108" s="932">
        <v>12.6</v>
      </c>
      <c r="B108" s="124" t="s">
        <v>1084</v>
      </c>
      <c r="C108" s="125"/>
      <c r="D108" s="739"/>
      <c r="E108" s="370"/>
      <c r="F108" s="1017"/>
      <c r="G108" s="127"/>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c r="BY108" s="128"/>
      <c r="BZ108" s="128"/>
      <c r="CA108" s="128"/>
      <c r="CB108" s="128"/>
      <c r="CC108" s="128"/>
      <c r="CD108" s="128"/>
      <c r="CE108" s="128"/>
      <c r="CF108" s="128"/>
      <c r="CG108" s="128"/>
      <c r="CH108" s="128"/>
      <c r="CI108" s="128"/>
      <c r="CJ108" s="128"/>
      <c r="CK108" s="128"/>
      <c r="CL108" s="128"/>
      <c r="CM108" s="128"/>
      <c r="CN108" s="128"/>
      <c r="CO108" s="128"/>
      <c r="CP108" s="128"/>
      <c r="CQ108" s="128"/>
      <c r="CR108" s="128"/>
      <c r="CS108" s="128"/>
      <c r="CT108" s="128"/>
      <c r="CU108" s="128"/>
      <c r="CV108" s="128"/>
      <c r="CW108" s="128"/>
      <c r="CX108" s="128"/>
      <c r="CY108" s="128"/>
      <c r="CZ108" s="128"/>
      <c r="DA108" s="128"/>
      <c r="DB108" s="128"/>
      <c r="DC108" s="128"/>
      <c r="DD108" s="128"/>
      <c r="DE108" s="128"/>
      <c r="DF108" s="128"/>
      <c r="DG108" s="128"/>
      <c r="DH108" s="128"/>
      <c r="DI108" s="128"/>
      <c r="DJ108" s="128"/>
      <c r="DK108" s="128"/>
      <c r="DL108" s="128"/>
      <c r="DM108" s="128"/>
      <c r="DN108" s="128"/>
      <c r="DO108" s="128"/>
      <c r="DP108" s="128"/>
      <c r="DQ108" s="128"/>
      <c r="DR108" s="128"/>
      <c r="DS108" s="128"/>
      <c r="DT108" s="128"/>
      <c r="DU108" s="128"/>
      <c r="DV108" s="128"/>
      <c r="DW108" s="128"/>
      <c r="DX108" s="128"/>
      <c r="DY108" s="128"/>
      <c r="DZ108" s="128"/>
      <c r="EA108" s="128"/>
      <c r="EB108" s="128"/>
      <c r="EC108" s="128"/>
      <c r="ED108" s="128"/>
      <c r="EE108" s="128"/>
      <c r="EF108" s="128"/>
      <c r="EG108" s="128"/>
      <c r="EH108" s="128"/>
      <c r="EI108" s="128"/>
      <c r="EJ108" s="128"/>
      <c r="EK108" s="128"/>
      <c r="EL108" s="128"/>
      <c r="EM108" s="128"/>
      <c r="EN108" s="128"/>
      <c r="EO108" s="128"/>
      <c r="EP108" s="128"/>
      <c r="EQ108" s="128"/>
      <c r="ER108" s="128"/>
      <c r="ES108" s="128"/>
      <c r="ET108" s="128"/>
      <c r="EU108" s="128"/>
      <c r="EV108" s="128"/>
      <c r="EW108" s="128"/>
      <c r="EX108" s="128"/>
      <c r="EY108" s="128"/>
      <c r="EZ108" s="128"/>
      <c r="FA108" s="128"/>
      <c r="FB108" s="128"/>
      <c r="FC108" s="128"/>
      <c r="FD108" s="128"/>
      <c r="FE108" s="128"/>
      <c r="FF108" s="128"/>
      <c r="FG108" s="128"/>
      <c r="FH108" s="128"/>
      <c r="FI108" s="128"/>
      <c r="FJ108" s="128"/>
      <c r="FK108" s="128"/>
      <c r="FL108" s="128"/>
      <c r="FM108" s="128"/>
      <c r="FN108" s="128"/>
      <c r="FO108" s="128"/>
      <c r="FP108" s="128"/>
      <c r="FQ108" s="128"/>
      <c r="FR108" s="128"/>
      <c r="FS108" s="128"/>
      <c r="FT108" s="128"/>
      <c r="FU108" s="128"/>
      <c r="FV108" s="128"/>
      <c r="FW108" s="128"/>
      <c r="FX108" s="128"/>
      <c r="FY108" s="128"/>
      <c r="FZ108" s="128"/>
      <c r="GA108" s="128"/>
      <c r="GB108" s="128"/>
      <c r="GC108" s="128"/>
      <c r="GD108" s="128"/>
      <c r="GE108" s="128"/>
      <c r="GF108" s="128"/>
      <c r="GG108" s="128"/>
      <c r="GH108" s="128"/>
      <c r="GI108" s="128"/>
      <c r="GJ108" s="128"/>
      <c r="GK108" s="128"/>
      <c r="GL108" s="128"/>
      <c r="GM108" s="128"/>
      <c r="GN108" s="128"/>
      <c r="GO108" s="128"/>
      <c r="GP108" s="128"/>
    </row>
    <row r="109" spans="1:198" s="119" customFormat="1" ht="31.2">
      <c r="A109" s="366" t="s">
        <v>961</v>
      </c>
      <c r="B109" s="122" t="s">
        <v>431</v>
      </c>
      <c r="C109" s="121" t="s">
        <v>117</v>
      </c>
      <c r="D109" s="738">
        <v>21</v>
      </c>
      <c r="E109" s="736"/>
      <c r="F109" s="1017">
        <f t="shared" si="5"/>
        <v>0</v>
      </c>
      <c r="G109" s="117"/>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CY109" s="118"/>
      <c r="CZ109" s="118"/>
      <c r="DA109" s="118"/>
      <c r="DB109" s="118"/>
      <c r="DC109" s="118"/>
      <c r="DD109" s="118"/>
      <c r="DE109" s="118"/>
      <c r="DF109" s="118"/>
      <c r="DG109" s="118"/>
      <c r="DH109" s="118"/>
      <c r="DI109" s="118"/>
      <c r="DJ109" s="118"/>
      <c r="DK109" s="118"/>
      <c r="DL109" s="118"/>
      <c r="DM109" s="118"/>
      <c r="DN109" s="118"/>
      <c r="DO109" s="118"/>
      <c r="DP109" s="118"/>
      <c r="DQ109" s="118"/>
      <c r="DR109" s="118"/>
      <c r="DS109" s="118"/>
      <c r="DT109" s="118"/>
      <c r="DU109" s="118"/>
      <c r="DV109" s="118"/>
      <c r="DW109" s="118"/>
      <c r="DX109" s="118"/>
      <c r="DY109" s="118"/>
      <c r="DZ109" s="118"/>
      <c r="EA109" s="118"/>
      <c r="EB109" s="118"/>
      <c r="EC109" s="118"/>
      <c r="ED109" s="118"/>
      <c r="EE109" s="118"/>
      <c r="EF109" s="118"/>
      <c r="EG109" s="118"/>
      <c r="EH109" s="118"/>
      <c r="EI109" s="118"/>
      <c r="EJ109" s="118"/>
      <c r="EK109" s="118"/>
      <c r="EL109" s="118"/>
      <c r="EM109" s="118"/>
      <c r="EN109" s="118"/>
      <c r="EO109" s="118"/>
      <c r="EP109" s="118"/>
      <c r="EQ109" s="118"/>
      <c r="ER109" s="118"/>
      <c r="ES109" s="118"/>
      <c r="ET109" s="118"/>
      <c r="EU109" s="118"/>
      <c r="EV109" s="118"/>
      <c r="EW109" s="118"/>
      <c r="EX109" s="118"/>
      <c r="EY109" s="118"/>
      <c r="EZ109" s="118"/>
      <c r="FA109" s="118"/>
      <c r="FB109" s="118"/>
      <c r="FC109" s="118"/>
      <c r="FD109" s="118"/>
      <c r="FE109" s="118"/>
      <c r="FF109" s="118"/>
      <c r="FG109" s="118"/>
      <c r="FH109" s="118"/>
      <c r="FI109" s="118"/>
      <c r="FJ109" s="118"/>
      <c r="FK109" s="118"/>
      <c r="FL109" s="118"/>
      <c r="FM109" s="118"/>
      <c r="FN109" s="118"/>
      <c r="FO109" s="118"/>
      <c r="FP109" s="118"/>
      <c r="FQ109" s="118"/>
      <c r="FR109" s="118"/>
      <c r="FS109" s="118"/>
      <c r="FT109" s="118"/>
      <c r="FU109" s="118"/>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P109" s="118"/>
    </row>
    <row r="110" spans="1:198" s="129" customFormat="1" ht="15.6">
      <c r="A110" s="939"/>
      <c r="B110" s="940" t="s">
        <v>1124</v>
      </c>
      <c r="C110" s="941"/>
      <c r="D110" s="942"/>
      <c r="E110" s="943"/>
      <c r="F110" s="1022">
        <f>SUM(F109)</f>
        <v>0</v>
      </c>
      <c r="G110" s="127"/>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c r="BT110" s="128"/>
      <c r="BU110" s="128"/>
      <c r="BV110" s="128"/>
      <c r="BW110" s="128"/>
      <c r="BX110" s="128"/>
      <c r="BY110" s="128"/>
      <c r="BZ110" s="128"/>
      <c r="CA110" s="128"/>
      <c r="CB110" s="128"/>
      <c r="CC110" s="128"/>
      <c r="CD110" s="128"/>
      <c r="CE110" s="128"/>
      <c r="CF110" s="128"/>
      <c r="CG110" s="128"/>
      <c r="CH110" s="128"/>
      <c r="CI110" s="128"/>
      <c r="CJ110" s="128"/>
      <c r="CK110" s="128"/>
      <c r="CL110" s="128"/>
      <c r="CM110" s="128"/>
      <c r="CN110" s="128"/>
      <c r="CO110" s="128"/>
      <c r="CP110" s="128"/>
      <c r="CQ110" s="128"/>
      <c r="CR110" s="128"/>
      <c r="CS110" s="128"/>
      <c r="CT110" s="128"/>
      <c r="CU110" s="128"/>
      <c r="CV110" s="128"/>
      <c r="CW110" s="128"/>
      <c r="CX110" s="128"/>
      <c r="CY110" s="128"/>
      <c r="CZ110" s="128"/>
      <c r="DA110" s="128"/>
      <c r="DB110" s="128"/>
      <c r="DC110" s="128"/>
      <c r="DD110" s="128"/>
      <c r="DE110" s="128"/>
      <c r="DF110" s="128"/>
      <c r="DG110" s="128"/>
      <c r="DH110" s="128"/>
      <c r="DI110" s="128"/>
      <c r="DJ110" s="128"/>
      <c r="DK110" s="128"/>
      <c r="DL110" s="128"/>
      <c r="DM110" s="128"/>
      <c r="DN110" s="128"/>
      <c r="DO110" s="128"/>
      <c r="DP110" s="128"/>
      <c r="DQ110" s="128"/>
      <c r="DR110" s="128"/>
      <c r="DS110" s="128"/>
      <c r="DT110" s="128"/>
      <c r="DU110" s="128"/>
      <c r="DV110" s="128"/>
      <c r="DW110" s="128"/>
      <c r="DX110" s="128"/>
      <c r="DY110" s="128"/>
      <c r="DZ110" s="128"/>
      <c r="EA110" s="128"/>
      <c r="EB110" s="128"/>
      <c r="EC110" s="128"/>
      <c r="ED110" s="128"/>
      <c r="EE110" s="128"/>
      <c r="EF110" s="128"/>
      <c r="EG110" s="128"/>
      <c r="EH110" s="128"/>
      <c r="EI110" s="128"/>
      <c r="EJ110" s="128"/>
      <c r="EK110" s="128"/>
      <c r="EL110" s="128"/>
      <c r="EM110" s="128"/>
      <c r="EN110" s="128"/>
      <c r="EO110" s="128"/>
      <c r="EP110" s="128"/>
      <c r="EQ110" s="128"/>
      <c r="ER110" s="128"/>
      <c r="ES110" s="128"/>
      <c r="ET110" s="128"/>
      <c r="EU110" s="128"/>
      <c r="EV110" s="128"/>
      <c r="EW110" s="128"/>
      <c r="EX110" s="128"/>
      <c r="EY110" s="128"/>
      <c r="EZ110" s="128"/>
      <c r="FA110" s="128"/>
      <c r="FB110" s="128"/>
      <c r="FC110" s="128"/>
      <c r="FD110" s="128"/>
      <c r="FE110" s="128"/>
      <c r="FF110" s="128"/>
      <c r="FG110" s="128"/>
      <c r="FH110" s="128"/>
      <c r="FI110" s="128"/>
      <c r="FJ110" s="128"/>
      <c r="FK110" s="128"/>
      <c r="FL110" s="128"/>
      <c r="FM110" s="128"/>
      <c r="FN110" s="128"/>
      <c r="FO110" s="128"/>
      <c r="FP110" s="128"/>
      <c r="FQ110" s="128"/>
      <c r="FR110" s="128"/>
      <c r="FS110" s="128"/>
      <c r="FT110" s="128"/>
      <c r="FU110" s="128"/>
      <c r="FV110" s="128"/>
      <c r="FW110" s="128"/>
      <c r="FX110" s="128"/>
      <c r="FY110" s="128"/>
      <c r="FZ110" s="128"/>
      <c r="GA110" s="128"/>
      <c r="GB110" s="128"/>
      <c r="GC110" s="128"/>
      <c r="GD110" s="128"/>
      <c r="GE110" s="128"/>
      <c r="GF110" s="128"/>
      <c r="GG110" s="128"/>
      <c r="GH110" s="128"/>
      <c r="GI110" s="128"/>
      <c r="GJ110" s="128"/>
      <c r="GK110" s="128"/>
      <c r="GL110" s="128"/>
      <c r="GM110" s="128"/>
      <c r="GN110" s="128"/>
      <c r="GO110" s="128"/>
      <c r="GP110" s="128"/>
    </row>
    <row r="111" spans="1:198" s="119" customFormat="1" ht="15.6">
      <c r="A111" s="909"/>
      <c r="B111" s="910"/>
      <c r="C111" s="911"/>
      <c r="D111" s="912"/>
      <c r="E111" s="913"/>
      <c r="F111" s="1023"/>
      <c r="G111" s="117"/>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CY111" s="118"/>
      <c r="CZ111" s="118"/>
      <c r="DA111" s="118"/>
      <c r="DB111" s="118"/>
      <c r="DC111" s="118"/>
      <c r="DD111" s="118"/>
      <c r="DE111" s="118"/>
      <c r="DF111" s="118"/>
      <c r="DG111" s="118"/>
      <c r="DH111" s="118"/>
      <c r="DI111" s="118"/>
      <c r="DJ111" s="118"/>
      <c r="DK111" s="118"/>
      <c r="DL111" s="118"/>
      <c r="DM111" s="118"/>
      <c r="DN111" s="118"/>
      <c r="DO111" s="118"/>
      <c r="DP111" s="118"/>
      <c r="DQ111" s="118"/>
      <c r="DR111" s="118"/>
      <c r="DS111" s="118"/>
      <c r="DT111" s="118"/>
      <c r="DU111" s="118"/>
      <c r="DV111" s="118"/>
      <c r="DW111" s="118"/>
      <c r="DX111" s="118"/>
      <c r="DY111" s="118"/>
      <c r="DZ111" s="118"/>
      <c r="EA111" s="118"/>
      <c r="EB111" s="118"/>
      <c r="EC111" s="118"/>
      <c r="ED111" s="118"/>
      <c r="EE111" s="118"/>
      <c r="EF111" s="118"/>
      <c r="EG111" s="118"/>
      <c r="EH111" s="118"/>
      <c r="EI111" s="118"/>
      <c r="EJ111" s="118"/>
      <c r="EK111" s="118"/>
      <c r="EL111" s="118"/>
      <c r="EM111" s="118"/>
      <c r="EN111" s="118"/>
      <c r="EO111" s="118"/>
      <c r="EP111" s="118"/>
      <c r="EQ111" s="118"/>
      <c r="ER111" s="118"/>
      <c r="ES111" s="118"/>
      <c r="ET111" s="118"/>
      <c r="EU111" s="118"/>
      <c r="EV111" s="118"/>
      <c r="EW111" s="118"/>
      <c r="EX111" s="118"/>
      <c r="EY111" s="118"/>
      <c r="EZ111" s="118"/>
      <c r="FA111" s="118"/>
      <c r="FB111" s="118"/>
      <c r="FC111" s="118"/>
      <c r="FD111" s="118"/>
      <c r="FE111" s="118"/>
      <c r="FF111" s="118"/>
      <c r="FG111" s="118"/>
      <c r="FH111" s="118"/>
      <c r="FI111" s="118"/>
      <c r="FJ111" s="118"/>
      <c r="FK111" s="118"/>
      <c r="FL111" s="118"/>
      <c r="FM111" s="118"/>
      <c r="FN111" s="118"/>
      <c r="FO111" s="118"/>
      <c r="FP111" s="118"/>
      <c r="FQ111" s="118"/>
      <c r="FR111" s="118"/>
      <c r="FS111" s="118"/>
      <c r="FT111" s="118"/>
      <c r="FU111" s="118"/>
      <c r="FV111" s="118"/>
      <c r="FW111" s="118"/>
      <c r="FX111" s="118"/>
      <c r="FY111" s="118"/>
      <c r="FZ111" s="118"/>
      <c r="GA111" s="118"/>
      <c r="GB111" s="118"/>
      <c r="GC111" s="118"/>
      <c r="GD111" s="118"/>
      <c r="GE111" s="118"/>
      <c r="GF111" s="118"/>
      <c r="GG111" s="118"/>
      <c r="GH111" s="118"/>
      <c r="GI111" s="118"/>
      <c r="GJ111" s="118"/>
      <c r="GK111" s="118"/>
      <c r="GL111" s="118"/>
      <c r="GM111" s="118"/>
      <c r="GN111" s="118"/>
      <c r="GO111" s="118"/>
      <c r="GP111" s="118"/>
    </row>
    <row r="112" spans="1:198" s="15" customFormat="1">
      <c r="A112" s="866">
        <v>12.7</v>
      </c>
      <c r="B112" s="867" t="s">
        <v>1075</v>
      </c>
      <c r="C112" s="868"/>
      <c r="D112" s="869"/>
      <c r="E112" s="868"/>
      <c r="F112" s="999"/>
    </row>
    <row r="113" spans="1:6" s="15" customFormat="1">
      <c r="A113" s="870"/>
      <c r="B113" s="871" t="s">
        <v>112</v>
      </c>
      <c r="C113" s="868"/>
      <c r="D113" s="869"/>
      <c r="E113" s="868"/>
      <c r="F113" s="999"/>
    </row>
    <row r="114" spans="1:6" s="15" customFormat="1">
      <c r="A114" s="870"/>
      <c r="B114" s="871" t="s">
        <v>1009</v>
      </c>
      <c r="C114" s="868"/>
      <c r="D114" s="869"/>
      <c r="E114" s="868"/>
      <c r="F114" s="999"/>
    </row>
    <row r="115" spans="1:6" s="15" customFormat="1" ht="28.8">
      <c r="A115" s="870" t="s">
        <v>962</v>
      </c>
      <c r="B115" s="872" t="s">
        <v>1080</v>
      </c>
      <c r="C115" s="868" t="s">
        <v>2</v>
      </c>
      <c r="D115" s="869">
        <f>D58</f>
        <v>115</v>
      </c>
      <c r="E115" s="868"/>
      <c r="F115" s="999">
        <f>E115*D115</f>
        <v>0</v>
      </c>
    </row>
    <row r="116" spans="1:6" s="15" customFormat="1">
      <c r="A116" s="870" t="s">
        <v>963</v>
      </c>
      <c r="B116" s="872" t="s">
        <v>1012</v>
      </c>
      <c r="C116" s="868" t="s">
        <v>2</v>
      </c>
      <c r="D116" s="869">
        <f>D59*2</f>
        <v>74</v>
      </c>
      <c r="E116" s="868"/>
      <c r="F116" s="999">
        <f>E116*D116</f>
        <v>0</v>
      </c>
    </row>
    <row r="117" spans="1:6" s="15" customFormat="1">
      <c r="A117" s="870"/>
      <c r="B117" s="867" t="s">
        <v>114</v>
      </c>
      <c r="C117" s="868"/>
      <c r="D117" s="869"/>
      <c r="E117" s="868"/>
      <c r="F117" s="999"/>
    </row>
    <row r="118" spans="1:6" s="15" customFormat="1">
      <c r="A118" s="870"/>
      <c r="B118" s="871" t="s">
        <v>115</v>
      </c>
      <c r="C118" s="868"/>
      <c r="D118" s="869"/>
      <c r="E118" s="868"/>
      <c r="F118" s="999"/>
    </row>
    <row r="119" spans="1:6" s="15" customFormat="1">
      <c r="A119" s="870" t="s">
        <v>964</v>
      </c>
      <c r="B119" s="872" t="s">
        <v>1026</v>
      </c>
      <c r="C119" s="868" t="s">
        <v>2</v>
      </c>
      <c r="D119" s="918">
        <f>D18</f>
        <v>81.900000000000006</v>
      </c>
      <c r="E119" s="868"/>
      <c r="F119" s="999">
        <f>E119*D119</f>
        <v>0</v>
      </c>
    </row>
    <row r="120" spans="1:6" s="15" customFormat="1">
      <c r="A120" s="870" t="s">
        <v>965</v>
      </c>
      <c r="B120" s="872" t="s">
        <v>1013</v>
      </c>
      <c r="C120" s="868" t="s">
        <v>3</v>
      </c>
      <c r="D120" s="869">
        <v>60</v>
      </c>
      <c r="E120" s="868"/>
      <c r="F120" s="999">
        <f t="shared" ref="F120" si="6">D120*E120</f>
        <v>0</v>
      </c>
    </row>
    <row r="121" spans="1:6" s="15" customFormat="1">
      <c r="A121" s="870"/>
      <c r="B121" s="867" t="s">
        <v>1014</v>
      </c>
      <c r="C121" s="868"/>
      <c r="D121" s="869"/>
      <c r="E121" s="868"/>
      <c r="F121" s="999"/>
    </row>
    <row r="122" spans="1:6" s="15" customFormat="1">
      <c r="A122" s="870"/>
      <c r="B122" s="867" t="s">
        <v>1015</v>
      </c>
      <c r="C122" s="868"/>
      <c r="D122" s="869"/>
      <c r="E122" s="868"/>
      <c r="F122" s="999"/>
    </row>
    <row r="123" spans="1:6" s="865" customFormat="1">
      <c r="A123" s="870" t="s">
        <v>966</v>
      </c>
      <c r="B123" s="872" t="s">
        <v>1016</v>
      </c>
      <c r="C123" s="868" t="s">
        <v>2</v>
      </c>
      <c r="D123" s="918">
        <f>D119</f>
        <v>81.900000000000006</v>
      </c>
      <c r="E123" s="869"/>
      <c r="F123" s="999">
        <f t="shared" ref="F123:F125" si="7">D123*E123</f>
        <v>0</v>
      </c>
    </row>
    <row r="124" spans="1:6" s="865" customFormat="1">
      <c r="A124" s="870" t="s">
        <v>1104</v>
      </c>
      <c r="B124" s="872" t="s">
        <v>1017</v>
      </c>
      <c r="C124" s="868" t="s">
        <v>3</v>
      </c>
      <c r="D124" s="869">
        <f>D123/0.6</f>
        <v>136.50000000000003</v>
      </c>
      <c r="E124" s="869"/>
      <c r="F124" s="999">
        <f t="shared" si="7"/>
        <v>0</v>
      </c>
    </row>
    <row r="125" spans="1:6" s="865" customFormat="1">
      <c r="A125" s="870" t="s">
        <v>1105</v>
      </c>
      <c r="B125" s="872" t="s">
        <v>1018</v>
      </c>
      <c r="C125" s="868" t="s">
        <v>2</v>
      </c>
      <c r="D125" s="918">
        <f>D123</f>
        <v>81.900000000000006</v>
      </c>
      <c r="E125" s="869"/>
      <c r="F125" s="999">
        <f t="shared" si="7"/>
        <v>0</v>
      </c>
    </row>
    <row r="126" spans="1:6" s="15" customFormat="1">
      <c r="A126" s="870"/>
      <c r="B126" s="867" t="s">
        <v>116</v>
      </c>
      <c r="C126" s="868"/>
      <c r="D126" s="869"/>
      <c r="E126" s="868"/>
      <c r="F126" s="999"/>
    </row>
    <row r="127" spans="1:6" s="15" customFormat="1">
      <c r="A127" s="870"/>
      <c r="B127" s="867" t="s">
        <v>1019</v>
      </c>
      <c r="C127" s="868"/>
      <c r="D127" s="869"/>
      <c r="E127" s="868"/>
      <c r="F127" s="999"/>
    </row>
    <row r="128" spans="1:6" s="15" customFormat="1">
      <c r="A128" s="870"/>
      <c r="B128" s="867" t="s">
        <v>1020</v>
      </c>
      <c r="C128" s="868"/>
      <c r="D128" s="869"/>
      <c r="E128" s="868"/>
      <c r="F128" s="999"/>
    </row>
    <row r="129" spans="1:198" s="15" customFormat="1">
      <c r="A129" s="870" t="s">
        <v>1106</v>
      </c>
      <c r="B129" s="872" t="s">
        <v>1021</v>
      </c>
      <c r="C129" s="868" t="s">
        <v>2</v>
      </c>
      <c r="D129" s="869">
        <f>D115</f>
        <v>115</v>
      </c>
      <c r="E129" s="868"/>
      <c r="F129" s="999">
        <f>E129*D129</f>
        <v>0</v>
      </c>
    </row>
    <row r="130" spans="1:198" s="15" customFormat="1">
      <c r="A130" s="870"/>
      <c r="B130" s="867" t="s">
        <v>1022</v>
      </c>
      <c r="C130" s="868"/>
      <c r="D130" s="869"/>
      <c r="E130" s="868"/>
      <c r="F130" s="999"/>
    </row>
    <row r="131" spans="1:198" s="15" customFormat="1">
      <c r="A131" s="870"/>
      <c r="B131" s="867" t="s">
        <v>1023</v>
      </c>
      <c r="C131" s="868"/>
      <c r="D131" s="869"/>
      <c r="E131" s="868"/>
      <c r="F131" s="999"/>
    </row>
    <row r="132" spans="1:198" s="15" customFormat="1">
      <c r="A132" s="870" t="s">
        <v>1107</v>
      </c>
      <c r="B132" s="872" t="s">
        <v>1024</v>
      </c>
      <c r="C132" s="868" t="s">
        <v>2</v>
      </c>
      <c r="D132" s="869">
        <f>D116</f>
        <v>74</v>
      </c>
      <c r="E132" s="868"/>
      <c r="F132" s="999">
        <f>E132*D132</f>
        <v>0</v>
      </c>
    </row>
    <row r="133" spans="1:198" s="15" customFormat="1">
      <c r="A133" s="870" t="s">
        <v>1108</v>
      </c>
      <c r="B133" s="872" t="s">
        <v>1025</v>
      </c>
      <c r="C133" s="868" t="s">
        <v>2</v>
      </c>
      <c r="D133" s="918">
        <f>D125</f>
        <v>81.900000000000006</v>
      </c>
      <c r="E133" s="868"/>
      <c r="F133" s="999">
        <f>E133*D133</f>
        <v>0</v>
      </c>
    </row>
    <row r="134" spans="1:198" s="129" customFormat="1" ht="15.6">
      <c r="A134" s="365"/>
      <c r="B134" s="124" t="s">
        <v>114</v>
      </c>
      <c r="C134" s="125"/>
      <c r="D134" s="739"/>
      <c r="E134" s="370"/>
      <c r="F134" s="1017">
        <f t="shared" si="5"/>
        <v>0</v>
      </c>
      <c r="G134" s="127"/>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8"/>
      <c r="BT134" s="128"/>
      <c r="BU134" s="128"/>
      <c r="BV134" s="128"/>
      <c r="BW134" s="128"/>
      <c r="BX134" s="128"/>
      <c r="BY134" s="128"/>
      <c r="BZ134" s="128"/>
      <c r="CA134" s="128"/>
      <c r="CB134" s="128"/>
      <c r="CC134" s="128"/>
      <c r="CD134" s="128"/>
      <c r="CE134" s="128"/>
      <c r="CF134" s="128"/>
      <c r="CG134" s="128"/>
      <c r="CH134" s="128"/>
      <c r="CI134" s="128"/>
      <c r="CJ134" s="128"/>
      <c r="CK134" s="128"/>
      <c r="CL134" s="128"/>
      <c r="CM134" s="128"/>
      <c r="CN134" s="128"/>
      <c r="CO134" s="128"/>
      <c r="CP134" s="128"/>
      <c r="CQ134" s="128"/>
      <c r="CR134" s="128"/>
      <c r="CS134" s="128"/>
      <c r="CT134" s="128"/>
      <c r="CU134" s="128"/>
      <c r="CV134" s="128"/>
      <c r="CW134" s="128"/>
      <c r="CX134" s="128"/>
      <c r="CY134" s="128"/>
      <c r="CZ134" s="128"/>
      <c r="DA134" s="128"/>
      <c r="DB134" s="128"/>
      <c r="DC134" s="128"/>
      <c r="DD134" s="128"/>
      <c r="DE134" s="128"/>
      <c r="DF134" s="128"/>
      <c r="DG134" s="128"/>
      <c r="DH134" s="128"/>
      <c r="DI134" s="128"/>
      <c r="DJ134" s="128"/>
      <c r="DK134" s="128"/>
      <c r="DL134" s="128"/>
      <c r="DM134" s="128"/>
      <c r="DN134" s="128"/>
      <c r="DO134" s="128"/>
      <c r="DP134" s="128"/>
      <c r="DQ134" s="128"/>
      <c r="DR134" s="128"/>
      <c r="DS134" s="128"/>
      <c r="DT134" s="128"/>
      <c r="DU134" s="128"/>
      <c r="DV134" s="128"/>
      <c r="DW134" s="128"/>
      <c r="DX134" s="128"/>
      <c r="DY134" s="128"/>
      <c r="DZ134" s="128"/>
      <c r="EA134" s="128"/>
      <c r="EB134" s="128"/>
      <c r="EC134" s="128"/>
      <c r="ED134" s="128"/>
      <c r="EE134" s="128"/>
      <c r="EF134" s="128"/>
      <c r="EG134" s="128"/>
      <c r="EH134" s="128"/>
      <c r="EI134" s="128"/>
      <c r="EJ134" s="128"/>
      <c r="EK134" s="128"/>
      <c r="EL134" s="128"/>
      <c r="EM134" s="128"/>
      <c r="EN134" s="128"/>
      <c r="EO134" s="128"/>
      <c r="EP134" s="128"/>
      <c r="EQ134" s="128"/>
      <c r="ER134" s="128"/>
      <c r="ES134" s="128"/>
      <c r="ET134" s="128"/>
      <c r="EU134" s="128"/>
      <c r="EV134" s="128"/>
      <c r="EW134" s="128"/>
      <c r="EX134" s="128"/>
      <c r="EY134" s="128"/>
      <c r="EZ134" s="128"/>
      <c r="FA134" s="128"/>
      <c r="FB134" s="128"/>
      <c r="FC134" s="128"/>
      <c r="FD134" s="128"/>
      <c r="FE134" s="128"/>
      <c r="FF134" s="128"/>
      <c r="FG134" s="128"/>
      <c r="FH134" s="128"/>
      <c r="FI134" s="128"/>
      <c r="FJ134" s="128"/>
      <c r="FK134" s="128"/>
      <c r="FL134" s="128"/>
      <c r="FM134" s="128"/>
      <c r="FN134" s="128"/>
      <c r="FO134" s="128"/>
      <c r="FP134" s="128"/>
      <c r="FQ134" s="128"/>
      <c r="FR134" s="128"/>
      <c r="FS134" s="128"/>
      <c r="FT134" s="128"/>
      <c r="FU134" s="128"/>
      <c r="FV134" s="128"/>
      <c r="FW134" s="128"/>
      <c r="FX134" s="128"/>
      <c r="FY134" s="128"/>
      <c r="FZ134" s="128"/>
      <c r="GA134" s="128"/>
      <c r="GB134" s="128"/>
      <c r="GC134" s="128"/>
      <c r="GD134" s="128"/>
      <c r="GE134" s="128"/>
      <c r="GF134" s="128"/>
      <c r="GG134" s="128"/>
      <c r="GH134" s="128"/>
      <c r="GI134" s="128"/>
      <c r="GJ134" s="128"/>
      <c r="GK134" s="128"/>
      <c r="GL134" s="128"/>
      <c r="GM134" s="128"/>
      <c r="GN134" s="128"/>
      <c r="GO134" s="128"/>
      <c r="GP134" s="128"/>
    </row>
    <row r="135" spans="1:198" s="133" customFormat="1" ht="15.6">
      <c r="A135" s="137"/>
      <c r="B135" s="138" t="s">
        <v>432</v>
      </c>
      <c r="C135" s="139"/>
      <c r="D135" s="137"/>
      <c r="E135" s="137"/>
      <c r="F135" s="1017">
        <f t="shared" si="5"/>
        <v>0</v>
      </c>
      <c r="G135" s="132"/>
    </row>
    <row r="136" spans="1:198" s="133" customFormat="1" ht="31.2">
      <c r="A136" s="137" t="s">
        <v>1109</v>
      </c>
      <c r="B136" s="140" t="s">
        <v>930</v>
      </c>
      <c r="C136" s="139" t="s">
        <v>434</v>
      </c>
      <c r="D136" s="918">
        <f>D133</f>
        <v>81.900000000000006</v>
      </c>
      <c r="E136" s="137"/>
      <c r="F136" s="1017">
        <f t="shared" si="5"/>
        <v>0</v>
      </c>
      <c r="G136" s="132"/>
    </row>
    <row r="137" spans="1:198" s="145" customFormat="1" ht="15.6">
      <c r="A137" s="141"/>
      <c r="B137" s="142" t="s">
        <v>490</v>
      </c>
      <c r="C137" s="143"/>
      <c r="D137" s="141"/>
      <c r="E137" s="141"/>
      <c r="F137" s="1018">
        <f>SUM(F94:F136)</f>
        <v>0</v>
      </c>
      <c r="G137" s="144"/>
    </row>
    <row r="138" spans="1:198">
      <c r="A138" s="59" t="s">
        <v>82</v>
      </c>
      <c r="B138" s="38" t="s">
        <v>7</v>
      </c>
      <c r="C138" s="37" t="s">
        <v>141</v>
      </c>
      <c r="D138" s="56" t="s">
        <v>142</v>
      </c>
      <c r="E138" s="57" t="s">
        <v>143</v>
      </c>
      <c r="F138" s="977" t="s">
        <v>289</v>
      </c>
    </row>
    <row r="139" spans="1:198" s="52" customFormat="1" ht="15.6">
      <c r="A139" s="153">
        <v>12.8</v>
      </c>
      <c r="B139" s="169" t="s">
        <v>1076</v>
      </c>
      <c r="C139" s="162"/>
      <c r="D139" s="743"/>
      <c r="E139" s="744"/>
      <c r="F139" s="1110"/>
      <c r="G139" s="77"/>
    </row>
    <row r="140" spans="1:198" s="165" customFormat="1" ht="15.6">
      <c r="A140" s="160"/>
      <c r="B140" s="169" t="s">
        <v>122</v>
      </c>
      <c r="C140" s="162"/>
      <c r="D140" s="743"/>
      <c r="E140" s="744"/>
      <c r="F140" s="1111">
        <f t="shared" ref="F140:F153" si="8">E140*D140</f>
        <v>0</v>
      </c>
      <c r="G140" s="164"/>
    </row>
    <row r="141" spans="1:198" s="165" customFormat="1" ht="54" customHeight="1">
      <c r="A141" s="160"/>
      <c r="B141" s="378" t="s">
        <v>280</v>
      </c>
      <c r="C141" s="166"/>
      <c r="D141" s="743"/>
      <c r="E141" s="744"/>
      <c r="F141" s="1111">
        <f t="shared" si="8"/>
        <v>0</v>
      </c>
      <c r="G141" s="164"/>
    </row>
    <row r="142" spans="1:198" s="165" customFormat="1" ht="15.6">
      <c r="A142" s="160" t="s">
        <v>967</v>
      </c>
      <c r="B142" s="167" t="s">
        <v>507</v>
      </c>
      <c r="C142" s="166" t="s">
        <v>4</v>
      </c>
      <c r="D142" s="743">
        <v>3</v>
      </c>
      <c r="E142" s="744"/>
      <c r="F142" s="1111">
        <f t="shared" si="8"/>
        <v>0</v>
      </c>
      <c r="G142" s="164"/>
    </row>
    <row r="143" spans="1:198" s="165" customFormat="1" ht="15.6">
      <c r="A143" s="160"/>
      <c r="B143" s="168" t="s">
        <v>123</v>
      </c>
      <c r="C143" s="166"/>
      <c r="D143" s="743"/>
      <c r="E143" s="744"/>
      <c r="F143" s="1111">
        <f t="shared" si="8"/>
        <v>0</v>
      </c>
      <c r="G143" s="164"/>
    </row>
    <row r="144" spans="1:198" s="165" customFormat="1" ht="15.6">
      <c r="A144" s="160" t="s">
        <v>968</v>
      </c>
      <c r="B144" s="167" t="s">
        <v>124</v>
      </c>
      <c r="C144" s="166" t="s">
        <v>117</v>
      </c>
      <c r="D144" s="743">
        <f>D142</f>
        <v>3</v>
      </c>
      <c r="E144" s="744"/>
      <c r="F144" s="1111">
        <f t="shared" si="8"/>
        <v>0</v>
      </c>
      <c r="G144" s="164"/>
    </row>
    <row r="145" spans="1:7" s="165" customFormat="1" ht="15.6">
      <c r="A145" s="160"/>
      <c r="B145" s="169" t="s">
        <v>125</v>
      </c>
      <c r="C145" s="162"/>
      <c r="D145" s="743"/>
      <c r="E145" s="744"/>
      <c r="F145" s="1111">
        <f t="shared" si="8"/>
        <v>0</v>
      </c>
      <c r="G145" s="164"/>
    </row>
    <row r="146" spans="1:7" s="165" customFormat="1" ht="109.2">
      <c r="A146" s="160"/>
      <c r="B146" s="170" t="s">
        <v>437</v>
      </c>
      <c r="C146" s="166"/>
      <c r="D146" s="743"/>
      <c r="E146" s="744"/>
      <c r="F146" s="1111">
        <f t="shared" si="8"/>
        <v>0</v>
      </c>
      <c r="G146" s="164"/>
    </row>
    <row r="147" spans="1:7" s="165" customFormat="1" ht="15.6">
      <c r="A147" s="160"/>
      <c r="B147" s="171" t="s">
        <v>126</v>
      </c>
      <c r="C147" s="166"/>
      <c r="D147" s="743"/>
      <c r="E147" s="744"/>
      <c r="F147" s="1111">
        <f t="shared" si="8"/>
        <v>0</v>
      </c>
      <c r="G147" s="164"/>
    </row>
    <row r="148" spans="1:7" s="165" customFormat="1" ht="15.6">
      <c r="A148" s="160" t="s">
        <v>969</v>
      </c>
      <c r="B148" s="171" t="s">
        <v>127</v>
      </c>
      <c r="C148" s="166" t="s">
        <v>117</v>
      </c>
      <c r="D148" s="743">
        <v>6</v>
      </c>
      <c r="E148" s="744"/>
      <c r="F148" s="1111">
        <f t="shared" si="8"/>
        <v>0</v>
      </c>
      <c r="G148" s="164"/>
    </row>
    <row r="149" spans="1:7" s="165" customFormat="1" ht="15.6">
      <c r="A149" s="160"/>
      <c r="B149" s="168" t="s">
        <v>128</v>
      </c>
      <c r="C149" s="162"/>
      <c r="D149" s="743"/>
      <c r="E149" s="744"/>
      <c r="F149" s="1111">
        <f t="shared" si="8"/>
        <v>0</v>
      </c>
      <c r="G149" s="164"/>
    </row>
    <row r="150" spans="1:7" s="165" customFormat="1" ht="78">
      <c r="A150" s="160"/>
      <c r="B150" s="167" t="s">
        <v>508</v>
      </c>
      <c r="C150" s="166"/>
      <c r="D150" s="743"/>
      <c r="E150" s="744"/>
      <c r="F150" s="1111">
        <f t="shared" si="8"/>
        <v>0</v>
      </c>
      <c r="G150" s="164"/>
    </row>
    <row r="151" spans="1:7" s="165" customFormat="1" ht="15.6">
      <c r="A151" s="160" t="s">
        <v>970</v>
      </c>
      <c r="B151" s="171" t="s">
        <v>129</v>
      </c>
      <c r="C151" s="166" t="s">
        <v>130</v>
      </c>
      <c r="D151" s="743">
        <v>80</v>
      </c>
      <c r="E151" s="744"/>
      <c r="F151" s="1111">
        <f t="shared" si="8"/>
        <v>0</v>
      </c>
      <c r="G151" s="164"/>
    </row>
    <row r="152" spans="1:7" s="165" customFormat="1" ht="46.8">
      <c r="A152" s="373"/>
      <c r="B152" s="154" t="s">
        <v>509</v>
      </c>
      <c r="C152" s="172"/>
      <c r="D152" s="743"/>
      <c r="E152" s="744"/>
      <c r="F152" s="1111">
        <f t="shared" si="8"/>
        <v>0</v>
      </c>
      <c r="G152" s="164"/>
    </row>
    <row r="153" spans="1:7" s="165" customFormat="1" ht="15.6">
      <c r="A153" s="373" t="s">
        <v>971</v>
      </c>
      <c r="B153" s="173" t="s">
        <v>131</v>
      </c>
      <c r="C153" s="172" t="s">
        <v>132</v>
      </c>
      <c r="D153" s="743">
        <v>3</v>
      </c>
      <c r="E153" s="744"/>
      <c r="F153" s="1111">
        <f t="shared" si="8"/>
        <v>0</v>
      </c>
      <c r="G153" s="164"/>
    </row>
    <row r="154" spans="1:7" s="103" customFormat="1" ht="15.6">
      <c r="A154" s="372"/>
      <c r="B154" s="175" t="s">
        <v>935</v>
      </c>
      <c r="C154" s="176"/>
      <c r="D154" s="745"/>
      <c r="E154" s="746"/>
      <c r="F154" s="1112">
        <f>SUM(F141:F153)</f>
        <v>0</v>
      </c>
      <c r="G154" s="179"/>
    </row>
    <row r="155" spans="1:7">
      <c r="A155" s="374"/>
      <c r="B155" s="182"/>
      <c r="C155" s="183"/>
      <c r="D155" s="747"/>
      <c r="E155" s="748"/>
      <c r="F155" s="1113"/>
      <c r="G155" s="65"/>
    </row>
    <row r="156" spans="1:7" s="104" customFormat="1" ht="28.8">
      <c r="A156" s="364">
        <v>12.9</v>
      </c>
      <c r="B156" s="919" t="s">
        <v>1085</v>
      </c>
      <c r="C156" s="920"/>
      <c r="D156" s="921"/>
      <c r="E156" s="922"/>
      <c r="F156" s="1114"/>
      <c r="G156" s="191"/>
    </row>
    <row r="157" spans="1:7">
      <c r="A157" s="202" t="s">
        <v>1110</v>
      </c>
      <c r="B157" s="202" t="s">
        <v>931</v>
      </c>
      <c r="C157" s="202" t="s">
        <v>2</v>
      </c>
      <c r="D157" s="749">
        <f>CEILING(9*0.8,1)</f>
        <v>8</v>
      </c>
      <c r="E157" s="749"/>
      <c r="F157" s="1115">
        <f>D157*E157</f>
        <v>0</v>
      </c>
      <c r="G157" s="65"/>
    </row>
    <row r="158" spans="1:7">
      <c r="A158" s="202" t="s">
        <v>1111</v>
      </c>
      <c r="B158" s="202" t="s">
        <v>345</v>
      </c>
      <c r="C158" s="202" t="s">
        <v>2</v>
      </c>
      <c r="D158" s="749">
        <f>CEILING(0.8*9.5,1)</f>
        <v>8</v>
      </c>
      <c r="E158" s="749"/>
      <c r="F158" s="1115">
        <f t="shared" ref="F158:F172" si="9">D158*E158</f>
        <v>0</v>
      </c>
      <c r="G158" s="65"/>
    </row>
    <row r="159" spans="1:7" ht="28.8">
      <c r="A159" s="202" t="s">
        <v>1112</v>
      </c>
      <c r="B159" s="202" t="s">
        <v>347</v>
      </c>
      <c r="C159" s="202" t="s">
        <v>2</v>
      </c>
      <c r="D159" s="749">
        <f>D158</f>
        <v>8</v>
      </c>
      <c r="E159" s="749"/>
      <c r="F159" s="1115">
        <f t="shared" si="9"/>
        <v>0</v>
      </c>
      <c r="G159" s="65"/>
    </row>
    <row r="160" spans="1:7" s="104" customFormat="1">
      <c r="A160" s="202" t="s">
        <v>1113</v>
      </c>
      <c r="B160" s="202" t="s">
        <v>932</v>
      </c>
      <c r="C160" s="202" t="s">
        <v>2</v>
      </c>
      <c r="D160" s="749">
        <f>D159</f>
        <v>8</v>
      </c>
      <c r="E160" s="749"/>
      <c r="F160" s="1115">
        <f t="shared" si="9"/>
        <v>0</v>
      </c>
      <c r="G160" s="191"/>
    </row>
    <row r="161" spans="1:7">
      <c r="A161" s="202" t="s">
        <v>1114</v>
      </c>
      <c r="B161" s="202" t="s">
        <v>351</v>
      </c>
      <c r="C161" s="202" t="s">
        <v>3</v>
      </c>
      <c r="D161" s="749">
        <f>CEILING(0.8+6.5+0.8+3,1)</f>
        <v>12</v>
      </c>
      <c r="E161" s="749"/>
      <c r="F161" s="1115">
        <f t="shared" si="9"/>
        <v>0</v>
      </c>
      <c r="G161" s="65"/>
    </row>
    <row r="162" spans="1:7">
      <c r="A162" s="202" t="s">
        <v>1115</v>
      </c>
      <c r="B162" s="202" t="s">
        <v>353</v>
      </c>
      <c r="C162" s="202" t="s">
        <v>2</v>
      </c>
      <c r="D162" s="749">
        <f>D160*2</f>
        <v>16</v>
      </c>
      <c r="E162" s="749"/>
      <c r="F162" s="1115">
        <f t="shared" si="9"/>
        <v>0</v>
      </c>
      <c r="G162" s="65"/>
    </row>
    <row r="163" spans="1:7">
      <c r="A163" s="202" t="s">
        <v>1116</v>
      </c>
      <c r="B163" s="202" t="s">
        <v>355</v>
      </c>
      <c r="C163" s="202" t="s">
        <v>2</v>
      </c>
      <c r="D163" s="749">
        <f>D159</f>
        <v>8</v>
      </c>
      <c r="E163" s="749"/>
      <c r="F163" s="1115">
        <f t="shared" si="9"/>
        <v>0</v>
      </c>
      <c r="G163" s="65"/>
    </row>
    <row r="164" spans="1:7" ht="28.8">
      <c r="A164" s="202" t="s">
        <v>1117</v>
      </c>
      <c r="B164" s="202" t="s">
        <v>934</v>
      </c>
      <c r="C164" s="202" t="s">
        <v>2</v>
      </c>
      <c r="D164" s="749">
        <f>CEILING(9*0.8,1)</f>
        <v>8</v>
      </c>
      <c r="E164" s="749"/>
      <c r="F164" s="1115">
        <f t="shared" si="9"/>
        <v>0</v>
      </c>
      <c r="G164" s="65"/>
    </row>
    <row r="165" spans="1:7">
      <c r="A165" s="202" t="s">
        <v>1118</v>
      </c>
      <c r="B165" s="202" t="s">
        <v>358</v>
      </c>
      <c r="C165" s="202" t="s">
        <v>359</v>
      </c>
      <c r="D165" s="749">
        <v>25</v>
      </c>
      <c r="E165" s="749"/>
      <c r="F165" s="1115">
        <f t="shared" si="9"/>
        <v>0</v>
      </c>
      <c r="G165" s="65"/>
    </row>
    <row r="166" spans="1:7">
      <c r="A166" s="202" t="s">
        <v>1119</v>
      </c>
      <c r="B166" s="202" t="s">
        <v>363</v>
      </c>
      <c r="C166" s="202"/>
      <c r="D166" s="749"/>
      <c r="E166" s="749"/>
      <c r="F166" s="1115"/>
      <c r="G166" s="65"/>
    </row>
    <row r="167" spans="1:7">
      <c r="A167" s="202"/>
      <c r="B167" s="202" t="s">
        <v>933</v>
      </c>
      <c r="C167" s="202" t="s">
        <v>2</v>
      </c>
      <c r="D167" s="749">
        <f>D164</f>
        <v>8</v>
      </c>
      <c r="E167" s="749"/>
      <c r="F167" s="1115">
        <f t="shared" si="9"/>
        <v>0</v>
      </c>
      <c r="G167" s="65"/>
    </row>
    <row r="168" spans="1:7">
      <c r="A168" s="202"/>
      <c r="B168" s="202"/>
      <c r="C168" s="202"/>
      <c r="D168" s="749"/>
      <c r="E168" s="749"/>
      <c r="F168" s="1115"/>
      <c r="G168" s="65"/>
    </row>
    <row r="169" spans="1:7">
      <c r="A169" s="201"/>
      <c r="B169" s="201" t="s">
        <v>365</v>
      </c>
      <c r="C169" s="202"/>
      <c r="D169" s="749"/>
      <c r="E169" s="749"/>
      <c r="F169" s="1115"/>
      <c r="G169" s="65"/>
    </row>
    <row r="170" spans="1:7" ht="28.8">
      <c r="A170" s="202" t="s">
        <v>1120</v>
      </c>
      <c r="B170" s="202" t="s">
        <v>366</v>
      </c>
      <c r="C170" s="202" t="s">
        <v>2</v>
      </c>
      <c r="D170" s="749">
        <v>30</v>
      </c>
      <c r="E170" s="749"/>
      <c r="F170" s="1115">
        <f t="shared" si="9"/>
        <v>0</v>
      </c>
      <c r="G170" s="65"/>
    </row>
    <row r="171" spans="1:7">
      <c r="A171" s="202" t="s">
        <v>1121</v>
      </c>
      <c r="B171" s="202" t="s">
        <v>367</v>
      </c>
      <c r="C171" s="202" t="s">
        <v>359</v>
      </c>
      <c r="D171" s="749">
        <v>15</v>
      </c>
      <c r="E171" s="749"/>
      <c r="F171" s="1115">
        <f t="shared" si="9"/>
        <v>0</v>
      </c>
      <c r="G171" s="65"/>
    </row>
    <row r="172" spans="1:7">
      <c r="A172" s="202" t="s">
        <v>1122</v>
      </c>
      <c r="B172" s="202" t="s">
        <v>363</v>
      </c>
      <c r="C172" s="202" t="s">
        <v>2</v>
      </c>
      <c r="D172" s="749">
        <v>30</v>
      </c>
      <c r="E172" s="749"/>
      <c r="F172" s="1115">
        <f t="shared" si="9"/>
        <v>0</v>
      </c>
      <c r="G172" s="65"/>
    </row>
    <row r="173" spans="1:7">
      <c r="A173" s="375"/>
      <c r="B173" s="187" t="s">
        <v>936</v>
      </c>
      <c r="C173" s="188"/>
      <c r="D173" s="750"/>
      <c r="E173" s="751"/>
      <c r="F173" s="1113">
        <f>SUM(F156:F172)</f>
        <v>0</v>
      </c>
      <c r="G173" s="65"/>
    </row>
    <row r="174" spans="1:7">
      <c r="A174" s="374"/>
      <c r="B174" s="186"/>
      <c r="C174" s="183"/>
      <c r="D174" s="747"/>
      <c r="E174" s="748"/>
      <c r="F174" s="1113"/>
      <c r="G174" s="65"/>
    </row>
    <row r="175" spans="1:7">
      <c r="A175" s="928"/>
      <c r="B175" s="944"/>
      <c r="C175" s="945"/>
      <c r="D175" s="946"/>
      <c r="E175" s="947"/>
      <c r="F175" s="1116"/>
      <c r="G175" s="65"/>
    </row>
    <row r="176" spans="1:7">
      <c r="A176" s="928"/>
      <c r="B176" s="944"/>
      <c r="C176" s="945"/>
      <c r="D176" s="946"/>
      <c r="E176" s="947"/>
      <c r="F176" s="1116"/>
      <c r="G176" s="65"/>
    </row>
    <row r="177" spans="1:7">
      <c r="A177" s="928"/>
      <c r="B177" s="944"/>
      <c r="C177" s="945"/>
      <c r="D177" s="946"/>
      <c r="E177" s="947"/>
      <c r="F177" s="1116"/>
      <c r="G177" s="65"/>
    </row>
    <row r="178" spans="1:7">
      <c r="A178" s="374"/>
      <c r="B178" s="200" t="s">
        <v>461</v>
      </c>
      <c r="C178" s="199"/>
      <c r="D178" s="752"/>
      <c r="E178" s="752"/>
      <c r="F178" s="1117"/>
    </row>
    <row r="179" spans="1:7">
      <c r="A179" s="374"/>
      <c r="B179" s="199" t="str">
        <f>B7</f>
        <v>ELEMENT NO. 1 : SUB-STRUCTURES (all provisional)</v>
      </c>
      <c r="C179" s="199"/>
      <c r="D179" s="752"/>
      <c r="E179" s="752"/>
      <c r="F179" s="1117">
        <f>F32</f>
        <v>0</v>
      </c>
    </row>
    <row r="180" spans="1:7">
      <c r="A180" s="928"/>
      <c r="B180" s="929" t="str">
        <f>B39</f>
        <v>ELEMENT NO. 2: SUPER STRUCTURE CONCRETE</v>
      </c>
      <c r="C180" s="929"/>
      <c r="D180" s="930"/>
      <c r="E180" s="930"/>
      <c r="F180" s="1118">
        <f>F51</f>
        <v>0</v>
      </c>
    </row>
    <row r="181" spans="1:7">
      <c r="A181" s="928"/>
      <c r="B181" s="929" t="str">
        <f>B53</f>
        <v>ELEMENT NO. 3 SUPERSTRUCTURE WALLING</v>
      </c>
      <c r="C181" s="929"/>
      <c r="D181" s="930"/>
      <c r="E181" s="930"/>
      <c r="F181" s="1118">
        <f>F63</f>
        <v>0</v>
      </c>
    </row>
    <row r="182" spans="1:7">
      <c r="A182" s="928"/>
      <c r="B182" s="929" t="str">
        <f>B65</f>
        <v>ELEMENT NO. 4: ROOF</v>
      </c>
      <c r="C182" s="929"/>
      <c r="D182" s="930"/>
      <c r="E182" s="930"/>
      <c r="F182" s="1118">
        <f>F91</f>
        <v>0</v>
      </c>
    </row>
    <row r="183" spans="1:7">
      <c r="A183" s="928"/>
      <c r="B183" s="929" t="str">
        <f>B93</f>
        <v>ELEMENT NO. 5 - DOORS</v>
      </c>
      <c r="C183" s="929"/>
      <c r="D183" s="930"/>
      <c r="E183" s="930"/>
      <c r="F183" s="1118">
        <f>F106</f>
        <v>0</v>
      </c>
    </row>
    <row r="184" spans="1:7">
      <c r="A184" s="928"/>
      <c r="B184" s="929" t="str">
        <f>B108</f>
        <v>ELEMENT NO. 6 - WINDOWS</v>
      </c>
      <c r="C184" s="929"/>
      <c r="D184" s="930"/>
      <c r="E184" s="930"/>
      <c r="F184" s="1118">
        <f>F110</f>
        <v>0</v>
      </c>
    </row>
    <row r="185" spans="1:7">
      <c r="A185" s="928"/>
      <c r="B185" s="929" t="str">
        <f>B112</f>
        <v>ELEMENT NO 7: FINISHES</v>
      </c>
      <c r="C185" s="929"/>
      <c r="D185" s="930"/>
      <c r="E185" s="930"/>
      <c r="F185" s="1118">
        <f>F137</f>
        <v>0</v>
      </c>
    </row>
    <row r="186" spans="1:7">
      <c r="A186" s="928"/>
      <c r="B186" s="931" t="str">
        <f>B139</f>
        <v>ELEMENT NO. 8: ELECTRICAL INSTALLATIONS AND SERVICES</v>
      </c>
      <c r="C186" s="929"/>
      <c r="D186" s="930"/>
      <c r="E186" s="930"/>
      <c r="F186" s="1118">
        <f>F154</f>
        <v>0</v>
      </c>
    </row>
    <row r="187" spans="1:7">
      <c r="A187" s="928"/>
      <c r="B187" s="929" t="str">
        <f>B156</f>
        <v>ELEMENT NO. 9: FIXTURES - CLOTHES SHELVES CABINETS AND DRAWERS</v>
      </c>
      <c r="C187" s="929"/>
      <c r="D187" s="930"/>
      <c r="E187" s="930"/>
      <c r="F187" s="1118">
        <f>F173</f>
        <v>0</v>
      </c>
    </row>
    <row r="188" spans="1:7">
      <c r="A188" s="928"/>
      <c r="B188" s="929"/>
      <c r="C188" s="929"/>
      <c r="D188" s="930"/>
      <c r="E188" s="930"/>
      <c r="F188" s="1118"/>
    </row>
    <row r="189" spans="1:7">
      <c r="A189" s="374"/>
      <c r="B189" s="199"/>
      <c r="C189" s="199"/>
      <c r="D189" s="752"/>
      <c r="E189" s="752"/>
      <c r="F189" s="1117"/>
    </row>
    <row r="190" spans="1:7">
      <c r="A190" s="374"/>
      <c r="B190" s="199"/>
      <c r="C190" s="199"/>
      <c r="D190" s="752"/>
      <c r="E190" s="752"/>
      <c r="F190" s="1117"/>
    </row>
    <row r="191" spans="1:7">
      <c r="A191" s="374"/>
      <c r="B191" s="199"/>
      <c r="C191" s="199"/>
      <c r="D191" s="752"/>
      <c r="E191" s="752"/>
      <c r="F191" s="1117"/>
    </row>
    <row r="192" spans="1:7">
      <c r="A192" s="374"/>
      <c r="B192" s="199"/>
      <c r="C192" s="199"/>
      <c r="D192" s="752"/>
      <c r="E192" s="752"/>
      <c r="F192" s="1117"/>
    </row>
    <row r="193" spans="1:6">
      <c r="A193" s="374"/>
      <c r="B193" s="379"/>
      <c r="C193" s="199"/>
      <c r="D193" s="752"/>
      <c r="E193" s="752"/>
      <c r="F193" s="1117"/>
    </row>
    <row r="194" spans="1:6">
      <c r="A194" s="374"/>
      <c r="B194" s="199"/>
      <c r="C194" s="199"/>
      <c r="D194" s="752"/>
      <c r="E194" s="752"/>
      <c r="F194" s="1117"/>
    </row>
    <row r="195" spans="1:6">
      <c r="A195" s="374"/>
      <c r="B195" s="199"/>
      <c r="C195" s="199"/>
      <c r="D195" s="752"/>
      <c r="E195" s="752"/>
      <c r="F195" s="1117"/>
    </row>
    <row r="196" spans="1:6">
      <c r="A196" s="374"/>
      <c r="B196" s="200" t="s">
        <v>1207</v>
      </c>
      <c r="C196" s="199"/>
      <c r="D196" s="752"/>
      <c r="E196" s="752"/>
      <c r="F196" s="1113">
        <f>SUM(F179:F195)</f>
        <v>0</v>
      </c>
    </row>
    <row r="197" spans="1:6">
      <c r="A197" s="928"/>
      <c r="B197" s="954"/>
      <c r="C197" s="929"/>
      <c r="D197" s="930"/>
      <c r="E197" s="930"/>
      <c r="F197" s="1116"/>
    </row>
    <row r="198" spans="1:6">
      <c r="A198" s="375"/>
      <c r="B198" s="200" t="s">
        <v>1206</v>
      </c>
      <c r="C198" s="200"/>
      <c r="D198" s="753"/>
      <c r="E198" s="753"/>
      <c r="F198" s="1113">
        <f>F196*2</f>
        <v>0</v>
      </c>
    </row>
  </sheetData>
  <pageMargins left="0.7" right="0.7" top="0.75" bottom="0.75" header="0.3" footer="0.3"/>
  <pageSetup scale="83" orientation="portrait" r:id="rId1"/>
  <rowBreaks count="3" manualBreakCount="3">
    <brk id="37" max="5" man="1"/>
    <brk id="87" max="5" man="1"/>
    <brk id="137"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6"/>
  <sheetViews>
    <sheetView view="pageBreakPreview" topLeftCell="B3" zoomScaleNormal="100" zoomScaleSheetLayoutView="100" workbookViewId="0">
      <selection activeCell="C42" sqref="C42"/>
    </sheetView>
  </sheetViews>
  <sheetFormatPr defaultColWidth="9.109375" defaultRowHeight="14.25" customHeight="1"/>
  <cols>
    <col min="1" max="1" width="9.109375" style="102" bestFit="1" customWidth="1"/>
    <col min="2" max="2" width="72.33203125" style="91" customWidth="1"/>
    <col min="3" max="3" width="14.6640625" style="1126" bestFit="1" customWidth="1"/>
    <col min="4" max="4" width="17.33203125" style="88" bestFit="1" customWidth="1"/>
    <col min="5" max="5" width="15.88671875" style="89" bestFit="1" customWidth="1"/>
    <col min="6" max="244" width="9.109375" style="29"/>
    <col min="245" max="245" width="9.5546875" style="29" customWidth="1"/>
    <col min="246" max="246" width="71.109375" style="29" customWidth="1"/>
    <col min="247" max="247" width="16.33203125" style="29" customWidth="1"/>
    <col min="248" max="248" width="21.88671875" style="29" customWidth="1"/>
    <col min="249" max="249" width="4.109375" style="29" customWidth="1"/>
    <col min="250" max="500" width="9.109375" style="29"/>
    <col min="501" max="501" width="9.5546875" style="29" customWidth="1"/>
    <col min="502" max="502" width="71.109375" style="29" customWidth="1"/>
    <col min="503" max="503" width="16.33203125" style="29" customWidth="1"/>
    <col min="504" max="504" width="21.88671875" style="29" customWidth="1"/>
    <col min="505" max="505" width="4.109375" style="29" customWidth="1"/>
    <col min="506" max="756" width="9.109375" style="29"/>
    <col min="757" max="757" width="9.5546875" style="29" customWidth="1"/>
    <col min="758" max="758" width="71.109375" style="29" customWidth="1"/>
    <col min="759" max="759" width="16.33203125" style="29" customWidth="1"/>
    <col min="760" max="760" width="21.88671875" style="29" customWidth="1"/>
    <col min="761" max="761" width="4.109375" style="29" customWidth="1"/>
    <col min="762" max="1012" width="9.109375" style="29"/>
    <col min="1013" max="1013" width="9.5546875" style="29" customWidth="1"/>
    <col min="1014" max="1014" width="71.109375" style="29" customWidth="1"/>
    <col min="1015" max="1015" width="16.33203125" style="29" customWidth="1"/>
    <col min="1016" max="1016" width="21.88671875" style="29" customWidth="1"/>
    <col min="1017" max="1017" width="4.109375" style="29" customWidth="1"/>
    <col min="1018" max="1268" width="9.109375" style="29"/>
    <col min="1269" max="1269" width="9.5546875" style="29" customWidth="1"/>
    <col min="1270" max="1270" width="71.109375" style="29" customWidth="1"/>
    <col min="1271" max="1271" width="16.33203125" style="29" customWidth="1"/>
    <col min="1272" max="1272" width="21.88671875" style="29" customWidth="1"/>
    <col min="1273" max="1273" width="4.109375" style="29" customWidth="1"/>
    <col min="1274" max="1524" width="9.109375" style="29"/>
    <col min="1525" max="1525" width="9.5546875" style="29" customWidth="1"/>
    <col min="1526" max="1526" width="71.109375" style="29" customWidth="1"/>
    <col min="1527" max="1527" width="16.33203125" style="29" customWidth="1"/>
    <col min="1528" max="1528" width="21.88671875" style="29" customWidth="1"/>
    <col min="1529" max="1529" width="4.109375" style="29" customWidth="1"/>
    <col min="1530" max="1780" width="9.109375" style="29"/>
    <col min="1781" max="1781" width="9.5546875" style="29" customWidth="1"/>
    <col min="1782" max="1782" width="71.109375" style="29" customWidth="1"/>
    <col min="1783" max="1783" width="16.33203125" style="29" customWidth="1"/>
    <col min="1784" max="1784" width="21.88671875" style="29" customWidth="1"/>
    <col min="1785" max="1785" width="4.109375" style="29" customWidth="1"/>
    <col min="1786" max="2036" width="9.109375" style="29"/>
    <col min="2037" max="2037" width="9.5546875" style="29" customWidth="1"/>
    <col min="2038" max="2038" width="71.109375" style="29" customWidth="1"/>
    <col min="2039" max="2039" width="16.33203125" style="29" customWidth="1"/>
    <col min="2040" max="2040" width="21.88671875" style="29" customWidth="1"/>
    <col min="2041" max="2041" width="4.109375" style="29" customWidth="1"/>
    <col min="2042" max="2292" width="9.109375" style="29"/>
    <col min="2293" max="2293" width="9.5546875" style="29" customWidth="1"/>
    <col min="2294" max="2294" width="71.109375" style="29" customWidth="1"/>
    <col min="2295" max="2295" width="16.33203125" style="29" customWidth="1"/>
    <col min="2296" max="2296" width="21.88671875" style="29" customWidth="1"/>
    <col min="2297" max="2297" width="4.109375" style="29" customWidth="1"/>
    <col min="2298" max="2548" width="9.109375" style="29"/>
    <col min="2549" max="2549" width="9.5546875" style="29" customWidth="1"/>
    <col min="2550" max="2550" width="71.109375" style="29" customWidth="1"/>
    <col min="2551" max="2551" width="16.33203125" style="29" customWidth="1"/>
    <col min="2552" max="2552" width="21.88671875" style="29" customWidth="1"/>
    <col min="2553" max="2553" width="4.109375" style="29" customWidth="1"/>
    <col min="2554" max="2804" width="9.109375" style="29"/>
    <col min="2805" max="2805" width="9.5546875" style="29" customWidth="1"/>
    <col min="2806" max="2806" width="71.109375" style="29" customWidth="1"/>
    <col min="2807" max="2807" width="16.33203125" style="29" customWidth="1"/>
    <col min="2808" max="2808" width="21.88671875" style="29" customWidth="1"/>
    <col min="2809" max="2809" width="4.109375" style="29" customWidth="1"/>
    <col min="2810" max="3060" width="9.109375" style="29"/>
    <col min="3061" max="3061" width="9.5546875" style="29" customWidth="1"/>
    <col min="3062" max="3062" width="71.109375" style="29" customWidth="1"/>
    <col min="3063" max="3063" width="16.33203125" style="29" customWidth="1"/>
    <col min="3064" max="3064" width="21.88671875" style="29" customWidth="1"/>
    <col min="3065" max="3065" width="4.109375" style="29" customWidth="1"/>
    <col min="3066" max="3316" width="9.109375" style="29"/>
    <col min="3317" max="3317" width="9.5546875" style="29" customWidth="1"/>
    <col min="3318" max="3318" width="71.109375" style="29" customWidth="1"/>
    <col min="3319" max="3319" width="16.33203125" style="29" customWidth="1"/>
    <col min="3320" max="3320" width="21.88671875" style="29" customWidth="1"/>
    <col min="3321" max="3321" width="4.109375" style="29" customWidth="1"/>
    <col min="3322" max="3572" width="9.109375" style="29"/>
    <col min="3573" max="3573" width="9.5546875" style="29" customWidth="1"/>
    <col min="3574" max="3574" width="71.109375" style="29" customWidth="1"/>
    <col min="3575" max="3575" width="16.33203125" style="29" customWidth="1"/>
    <col min="3576" max="3576" width="21.88671875" style="29" customWidth="1"/>
    <col min="3577" max="3577" width="4.109375" style="29" customWidth="1"/>
    <col min="3578" max="3828" width="9.109375" style="29"/>
    <col min="3829" max="3829" width="9.5546875" style="29" customWidth="1"/>
    <col min="3830" max="3830" width="71.109375" style="29" customWidth="1"/>
    <col min="3831" max="3831" width="16.33203125" style="29" customWidth="1"/>
    <col min="3832" max="3832" width="21.88671875" style="29" customWidth="1"/>
    <col min="3833" max="3833" width="4.109375" style="29" customWidth="1"/>
    <col min="3834" max="4084" width="9.109375" style="29"/>
    <col min="4085" max="4085" width="9.5546875" style="29" customWidth="1"/>
    <col min="4086" max="4086" width="71.109375" style="29" customWidth="1"/>
    <col min="4087" max="4087" width="16.33203125" style="29" customWidth="1"/>
    <col min="4088" max="4088" width="21.88671875" style="29" customWidth="1"/>
    <col min="4089" max="4089" width="4.109375" style="29" customWidth="1"/>
    <col min="4090" max="4340" width="9.109375" style="29"/>
    <col min="4341" max="4341" width="9.5546875" style="29" customWidth="1"/>
    <col min="4342" max="4342" width="71.109375" style="29" customWidth="1"/>
    <col min="4343" max="4343" width="16.33203125" style="29" customWidth="1"/>
    <col min="4344" max="4344" width="21.88671875" style="29" customWidth="1"/>
    <col min="4345" max="4345" width="4.109375" style="29" customWidth="1"/>
    <col min="4346" max="4596" width="9.109375" style="29"/>
    <col min="4597" max="4597" width="9.5546875" style="29" customWidth="1"/>
    <col min="4598" max="4598" width="71.109375" style="29" customWidth="1"/>
    <col min="4599" max="4599" width="16.33203125" style="29" customWidth="1"/>
    <col min="4600" max="4600" width="21.88671875" style="29" customWidth="1"/>
    <col min="4601" max="4601" width="4.109375" style="29" customWidth="1"/>
    <col min="4602" max="4852" width="9.109375" style="29"/>
    <col min="4853" max="4853" width="9.5546875" style="29" customWidth="1"/>
    <col min="4854" max="4854" width="71.109375" style="29" customWidth="1"/>
    <col min="4855" max="4855" width="16.33203125" style="29" customWidth="1"/>
    <col min="4856" max="4856" width="21.88671875" style="29" customWidth="1"/>
    <col min="4857" max="4857" width="4.109375" style="29" customWidth="1"/>
    <col min="4858" max="5108" width="9.109375" style="29"/>
    <col min="5109" max="5109" width="9.5546875" style="29" customWidth="1"/>
    <col min="5110" max="5110" width="71.109375" style="29" customWidth="1"/>
    <col min="5111" max="5111" width="16.33203125" style="29" customWidth="1"/>
    <col min="5112" max="5112" width="21.88671875" style="29" customWidth="1"/>
    <col min="5113" max="5113" width="4.109375" style="29" customWidth="1"/>
    <col min="5114" max="5364" width="9.109375" style="29"/>
    <col min="5365" max="5365" width="9.5546875" style="29" customWidth="1"/>
    <col min="5366" max="5366" width="71.109375" style="29" customWidth="1"/>
    <col min="5367" max="5367" width="16.33203125" style="29" customWidth="1"/>
    <col min="5368" max="5368" width="21.88671875" style="29" customWidth="1"/>
    <col min="5369" max="5369" width="4.109375" style="29" customWidth="1"/>
    <col min="5370" max="5620" width="9.109375" style="29"/>
    <col min="5621" max="5621" width="9.5546875" style="29" customWidth="1"/>
    <col min="5622" max="5622" width="71.109375" style="29" customWidth="1"/>
    <col min="5623" max="5623" width="16.33203125" style="29" customWidth="1"/>
    <col min="5624" max="5624" width="21.88671875" style="29" customWidth="1"/>
    <col min="5625" max="5625" width="4.109375" style="29" customWidth="1"/>
    <col min="5626" max="5876" width="9.109375" style="29"/>
    <col min="5877" max="5877" width="9.5546875" style="29" customWidth="1"/>
    <col min="5878" max="5878" width="71.109375" style="29" customWidth="1"/>
    <col min="5879" max="5879" width="16.33203125" style="29" customWidth="1"/>
    <col min="5880" max="5880" width="21.88671875" style="29" customWidth="1"/>
    <col min="5881" max="5881" width="4.109375" style="29" customWidth="1"/>
    <col min="5882" max="6132" width="9.109375" style="29"/>
    <col min="6133" max="6133" width="9.5546875" style="29" customWidth="1"/>
    <col min="6134" max="6134" width="71.109375" style="29" customWidth="1"/>
    <col min="6135" max="6135" width="16.33203125" style="29" customWidth="1"/>
    <col min="6136" max="6136" width="21.88671875" style="29" customWidth="1"/>
    <col min="6137" max="6137" width="4.109375" style="29" customWidth="1"/>
    <col min="6138" max="6388" width="9.109375" style="29"/>
    <col min="6389" max="6389" width="9.5546875" style="29" customWidth="1"/>
    <col min="6390" max="6390" width="71.109375" style="29" customWidth="1"/>
    <col min="6391" max="6391" width="16.33203125" style="29" customWidth="1"/>
    <col min="6392" max="6392" width="21.88671875" style="29" customWidth="1"/>
    <col min="6393" max="6393" width="4.109375" style="29" customWidth="1"/>
    <col min="6394" max="6644" width="9.109375" style="29"/>
    <col min="6645" max="6645" width="9.5546875" style="29" customWidth="1"/>
    <col min="6646" max="6646" width="71.109375" style="29" customWidth="1"/>
    <col min="6647" max="6647" width="16.33203125" style="29" customWidth="1"/>
    <col min="6648" max="6648" width="21.88671875" style="29" customWidth="1"/>
    <col min="6649" max="6649" width="4.109375" style="29" customWidth="1"/>
    <col min="6650" max="6900" width="9.109375" style="29"/>
    <col min="6901" max="6901" width="9.5546875" style="29" customWidth="1"/>
    <col min="6902" max="6902" width="71.109375" style="29" customWidth="1"/>
    <col min="6903" max="6903" width="16.33203125" style="29" customWidth="1"/>
    <col min="6904" max="6904" width="21.88671875" style="29" customWidth="1"/>
    <col min="6905" max="6905" width="4.109375" style="29" customWidth="1"/>
    <col min="6906" max="7156" width="9.109375" style="29"/>
    <col min="7157" max="7157" width="9.5546875" style="29" customWidth="1"/>
    <col min="7158" max="7158" width="71.109375" style="29" customWidth="1"/>
    <col min="7159" max="7159" width="16.33203125" style="29" customWidth="1"/>
    <col min="7160" max="7160" width="21.88671875" style="29" customWidth="1"/>
    <col min="7161" max="7161" width="4.109375" style="29" customWidth="1"/>
    <col min="7162" max="7412" width="9.109375" style="29"/>
    <col min="7413" max="7413" width="9.5546875" style="29" customWidth="1"/>
    <col min="7414" max="7414" width="71.109375" style="29" customWidth="1"/>
    <col min="7415" max="7415" width="16.33203125" style="29" customWidth="1"/>
    <col min="7416" max="7416" width="21.88671875" style="29" customWidth="1"/>
    <col min="7417" max="7417" width="4.109375" style="29" customWidth="1"/>
    <col min="7418" max="7668" width="9.109375" style="29"/>
    <col min="7669" max="7669" width="9.5546875" style="29" customWidth="1"/>
    <col min="7670" max="7670" width="71.109375" style="29" customWidth="1"/>
    <col min="7671" max="7671" width="16.33203125" style="29" customWidth="1"/>
    <col min="7672" max="7672" width="21.88671875" style="29" customWidth="1"/>
    <col min="7673" max="7673" width="4.109375" style="29" customWidth="1"/>
    <col min="7674" max="7924" width="9.109375" style="29"/>
    <col min="7925" max="7925" width="9.5546875" style="29" customWidth="1"/>
    <col min="7926" max="7926" width="71.109375" style="29" customWidth="1"/>
    <col min="7927" max="7927" width="16.33203125" style="29" customWidth="1"/>
    <col min="7928" max="7928" width="21.88671875" style="29" customWidth="1"/>
    <col min="7929" max="7929" width="4.109375" style="29" customWidth="1"/>
    <col min="7930" max="8180" width="9.109375" style="29"/>
    <col min="8181" max="8181" width="9.5546875" style="29" customWidth="1"/>
    <col min="8182" max="8182" width="71.109375" style="29" customWidth="1"/>
    <col min="8183" max="8183" width="16.33203125" style="29" customWidth="1"/>
    <col min="8184" max="8184" width="21.88671875" style="29" customWidth="1"/>
    <col min="8185" max="8185" width="4.109375" style="29" customWidth="1"/>
    <col min="8186" max="8436" width="9.109375" style="29"/>
    <col min="8437" max="8437" width="9.5546875" style="29" customWidth="1"/>
    <col min="8438" max="8438" width="71.109375" style="29" customWidth="1"/>
    <col min="8439" max="8439" width="16.33203125" style="29" customWidth="1"/>
    <col min="8440" max="8440" width="21.88671875" style="29" customWidth="1"/>
    <col min="8441" max="8441" width="4.109375" style="29" customWidth="1"/>
    <col min="8442" max="8692" width="9.109375" style="29"/>
    <col min="8693" max="8693" width="9.5546875" style="29" customWidth="1"/>
    <col min="8694" max="8694" width="71.109375" style="29" customWidth="1"/>
    <col min="8695" max="8695" width="16.33203125" style="29" customWidth="1"/>
    <col min="8696" max="8696" width="21.88671875" style="29" customWidth="1"/>
    <col min="8697" max="8697" width="4.109375" style="29" customWidth="1"/>
    <col min="8698" max="8948" width="9.109375" style="29"/>
    <col min="8949" max="8949" width="9.5546875" style="29" customWidth="1"/>
    <col min="8950" max="8950" width="71.109375" style="29" customWidth="1"/>
    <col min="8951" max="8951" width="16.33203125" style="29" customWidth="1"/>
    <col min="8952" max="8952" width="21.88671875" style="29" customWidth="1"/>
    <col min="8953" max="8953" width="4.109375" style="29" customWidth="1"/>
    <col min="8954" max="9204" width="9.109375" style="29"/>
    <col min="9205" max="9205" width="9.5546875" style="29" customWidth="1"/>
    <col min="9206" max="9206" width="71.109375" style="29" customWidth="1"/>
    <col min="9207" max="9207" width="16.33203125" style="29" customWidth="1"/>
    <col min="9208" max="9208" width="21.88671875" style="29" customWidth="1"/>
    <col min="9209" max="9209" width="4.109375" style="29" customWidth="1"/>
    <col min="9210" max="9460" width="9.109375" style="29"/>
    <col min="9461" max="9461" width="9.5546875" style="29" customWidth="1"/>
    <col min="9462" max="9462" width="71.109375" style="29" customWidth="1"/>
    <col min="9463" max="9463" width="16.33203125" style="29" customWidth="1"/>
    <col min="9464" max="9464" width="21.88671875" style="29" customWidth="1"/>
    <col min="9465" max="9465" width="4.109375" style="29" customWidth="1"/>
    <col min="9466" max="9716" width="9.109375" style="29"/>
    <col min="9717" max="9717" width="9.5546875" style="29" customWidth="1"/>
    <col min="9718" max="9718" width="71.109375" style="29" customWidth="1"/>
    <col min="9719" max="9719" width="16.33203125" style="29" customWidth="1"/>
    <col min="9720" max="9720" width="21.88671875" style="29" customWidth="1"/>
    <col min="9721" max="9721" width="4.109375" style="29" customWidth="1"/>
    <col min="9722" max="9972" width="9.109375" style="29"/>
    <col min="9973" max="9973" width="9.5546875" style="29" customWidth="1"/>
    <col min="9974" max="9974" width="71.109375" style="29" customWidth="1"/>
    <col min="9975" max="9975" width="16.33203125" style="29" customWidth="1"/>
    <col min="9976" max="9976" width="21.88671875" style="29" customWidth="1"/>
    <col min="9977" max="9977" width="4.109375" style="29" customWidth="1"/>
    <col min="9978" max="10228" width="9.109375" style="29"/>
    <col min="10229" max="10229" width="9.5546875" style="29" customWidth="1"/>
    <col min="10230" max="10230" width="71.109375" style="29" customWidth="1"/>
    <col min="10231" max="10231" width="16.33203125" style="29" customWidth="1"/>
    <col min="10232" max="10232" width="21.88671875" style="29" customWidth="1"/>
    <col min="10233" max="10233" width="4.109375" style="29" customWidth="1"/>
    <col min="10234" max="10484" width="9.109375" style="29"/>
    <col min="10485" max="10485" width="9.5546875" style="29" customWidth="1"/>
    <col min="10486" max="10486" width="71.109375" style="29" customWidth="1"/>
    <col min="10487" max="10487" width="16.33203125" style="29" customWidth="1"/>
    <col min="10488" max="10488" width="21.88671875" style="29" customWidth="1"/>
    <col min="10489" max="10489" width="4.109375" style="29" customWidth="1"/>
    <col min="10490" max="10740" width="9.109375" style="29"/>
    <col min="10741" max="10741" width="9.5546875" style="29" customWidth="1"/>
    <col min="10742" max="10742" width="71.109375" style="29" customWidth="1"/>
    <col min="10743" max="10743" width="16.33203125" style="29" customWidth="1"/>
    <col min="10744" max="10744" width="21.88671875" style="29" customWidth="1"/>
    <col min="10745" max="10745" width="4.109375" style="29" customWidth="1"/>
    <col min="10746" max="10996" width="9.109375" style="29"/>
    <col min="10997" max="10997" width="9.5546875" style="29" customWidth="1"/>
    <col min="10998" max="10998" width="71.109375" style="29" customWidth="1"/>
    <col min="10999" max="10999" width="16.33203125" style="29" customWidth="1"/>
    <col min="11000" max="11000" width="21.88671875" style="29" customWidth="1"/>
    <col min="11001" max="11001" width="4.109375" style="29" customWidth="1"/>
    <col min="11002" max="11252" width="9.109375" style="29"/>
    <col min="11253" max="11253" width="9.5546875" style="29" customWidth="1"/>
    <col min="11254" max="11254" width="71.109375" style="29" customWidth="1"/>
    <col min="11255" max="11255" width="16.33203125" style="29" customWidth="1"/>
    <col min="11256" max="11256" width="21.88671875" style="29" customWidth="1"/>
    <col min="11257" max="11257" width="4.109375" style="29" customWidth="1"/>
    <col min="11258" max="11508" width="9.109375" style="29"/>
    <col min="11509" max="11509" width="9.5546875" style="29" customWidth="1"/>
    <col min="11510" max="11510" width="71.109375" style="29" customWidth="1"/>
    <col min="11511" max="11511" width="16.33203125" style="29" customWidth="1"/>
    <col min="11512" max="11512" width="21.88671875" style="29" customWidth="1"/>
    <col min="11513" max="11513" width="4.109375" style="29" customWidth="1"/>
    <col min="11514" max="11764" width="9.109375" style="29"/>
    <col min="11765" max="11765" width="9.5546875" style="29" customWidth="1"/>
    <col min="11766" max="11766" width="71.109375" style="29" customWidth="1"/>
    <col min="11767" max="11767" width="16.33203125" style="29" customWidth="1"/>
    <col min="11768" max="11768" width="21.88671875" style="29" customWidth="1"/>
    <col min="11769" max="11769" width="4.109375" style="29" customWidth="1"/>
    <col min="11770" max="12020" width="9.109375" style="29"/>
    <col min="12021" max="12021" width="9.5546875" style="29" customWidth="1"/>
    <col min="12022" max="12022" width="71.109375" style="29" customWidth="1"/>
    <col min="12023" max="12023" width="16.33203125" style="29" customWidth="1"/>
    <col min="12024" max="12024" width="21.88671875" style="29" customWidth="1"/>
    <col min="12025" max="12025" width="4.109375" style="29" customWidth="1"/>
    <col min="12026" max="12276" width="9.109375" style="29"/>
    <col min="12277" max="12277" width="9.5546875" style="29" customWidth="1"/>
    <col min="12278" max="12278" width="71.109375" style="29" customWidth="1"/>
    <col min="12279" max="12279" width="16.33203125" style="29" customWidth="1"/>
    <col min="12280" max="12280" width="21.88671875" style="29" customWidth="1"/>
    <col min="12281" max="12281" width="4.109375" style="29" customWidth="1"/>
    <col min="12282" max="12532" width="9.109375" style="29"/>
    <col min="12533" max="12533" width="9.5546875" style="29" customWidth="1"/>
    <col min="12534" max="12534" width="71.109375" style="29" customWidth="1"/>
    <col min="12535" max="12535" width="16.33203125" style="29" customWidth="1"/>
    <col min="12536" max="12536" width="21.88671875" style="29" customWidth="1"/>
    <col min="12537" max="12537" width="4.109375" style="29" customWidth="1"/>
    <col min="12538" max="12788" width="9.109375" style="29"/>
    <col min="12789" max="12789" width="9.5546875" style="29" customWidth="1"/>
    <col min="12790" max="12790" width="71.109375" style="29" customWidth="1"/>
    <col min="12791" max="12791" width="16.33203125" style="29" customWidth="1"/>
    <col min="12792" max="12792" width="21.88671875" style="29" customWidth="1"/>
    <col min="12793" max="12793" width="4.109375" style="29" customWidth="1"/>
    <col min="12794" max="13044" width="9.109375" style="29"/>
    <col min="13045" max="13045" width="9.5546875" style="29" customWidth="1"/>
    <col min="13046" max="13046" width="71.109375" style="29" customWidth="1"/>
    <col min="13047" max="13047" width="16.33203125" style="29" customWidth="1"/>
    <col min="13048" max="13048" width="21.88671875" style="29" customWidth="1"/>
    <col min="13049" max="13049" width="4.109375" style="29" customWidth="1"/>
    <col min="13050" max="13300" width="9.109375" style="29"/>
    <col min="13301" max="13301" width="9.5546875" style="29" customWidth="1"/>
    <col min="13302" max="13302" width="71.109375" style="29" customWidth="1"/>
    <col min="13303" max="13303" width="16.33203125" style="29" customWidth="1"/>
    <col min="13304" max="13304" width="21.88671875" style="29" customWidth="1"/>
    <col min="13305" max="13305" width="4.109375" style="29" customWidth="1"/>
    <col min="13306" max="13556" width="9.109375" style="29"/>
    <col min="13557" max="13557" width="9.5546875" style="29" customWidth="1"/>
    <col min="13558" max="13558" width="71.109375" style="29" customWidth="1"/>
    <col min="13559" max="13559" width="16.33203125" style="29" customWidth="1"/>
    <col min="13560" max="13560" width="21.88671875" style="29" customWidth="1"/>
    <col min="13561" max="13561" width="4.109375" style="29" customWidth="1"/>
    <col min="13562" max="13812" width="9.109375" style="29"/>
    <col min="13813" max="13813" width="9.5546875" style="29" customWidth="1"/>
    <col min="13814" max="13814" width="71.109375" style="29" customWidth="1"/>
    <col min="13815" max="13815" width="16.33203125" style="29" customWidth="1"/>
    <col min="13816" max="13816" width="21.88671875" style="29" customWidth="1"/>
    <col min="13817" max="13817" width="4.109375" style="29" customWidth="1"/>
    <col min="13818" max="14068" width="9.109375" style="29"/>
    <col min="14069" max="14069" width="9.5546875" style="29" customWidth="1"/>
    <col min="14070" max="14070" width="71.109375" style="29" customWidth="1"/>
    <col min="14071" max="14071" width="16.33203125" style="29" customWidth="1"/>
    <col min="14072" max="14072" width="21.88671875" style="29" customWidth="1"/>
    <col min="14073" max="14073" width="4.109375" style="29" customWidth="1"/>
    <col min="14074" max="14324" width="9.109375" style="29"/>
    <col min="14325" max="14325" width="9.5546875" style="29" customWidth="1"/>
    <col min="14326" max="14326" width="71.109375" style="29" customWidth="1"/>
    <col min="14327" max="14327" width="16.33203125" style="29" customWidth="1"/>
    <col min="14328" max="14328" width="21.88671875" style="29" customWidth="1"/>
    <col min="14329" max="14329" width="4.109375" style="29" customWidth="1"/>
    <col min="14330" max="14580" width="9.109375" style="29"/>
    <col min="14581" max="14581" width="9.5546875" style="29" customWidth="1"/>
    <col min="14582" max="14582" width="71.109375" style="29" customWidth="1"/>
    <col min="14583" max="14583" width="16.33203125" style="29" customWidth="1"/>
    <col min="14584" max="14584" width="21.88671875" style="29" customWidth="1"/>
    <col min="14585" max="14585" width="4.109375" style="29" customWidth="1"/>
    <col min="14586" max="14836" width="9.109375" style="29"/>
    <col min="14837" max="14837" width="9.5546875" style="29" customWidth="1"/>
    <col min="14838" max="14838" width="71.109375" style="29" customWidth="1"/>
    <col min="14839" max="14839" width="16.33203125" style="29" customWidth="1"/>
    <col min="14840" max="14840" width="21.88671875" style="29" customWidth="1"/>
    <col min="14841" max="14841" width="4.109375" style="29" customWidth="1"/>
    <col min="14842" max="15092" width="9.109375" style="29"/>
    <col min="15093" max="15093" width="9.5546875" style="29" customWidth="1"/>
    <col min="15094" max="15094" width="71.109375" style="29" customWidth="1"/>
    <col min="15095" max="15095" width="16.33203125" style="29" customWidth="1"/>
    <col min="15096" max="15096" width="21.88671875" style="29" customWidth="1"/>
    <col min="15097" max="15097" width="4.109375" style="29" customWidth="1"/>
    <col min="15098" max="15348" width="9.109375" style="29"/>
    <col min="15349" max="15349" width="9.5546875" style="29" customWidth="1"/>
    <col min="15350" max="15350" width="71.109375" style="29" customWidth="1"/>
    <col min="15351" max="15351" width="16.33203125" style="29" customWidth="1"/>
    <col min="15352" max="15352" width="21.88671875" style="29" customWidth="1"/>
    <col min="15353" max="15353" width="4.109375" style="29" customWidth="1"/>
    <col min="15354" max="15604" width="9.109375" style="29"/>
    <col min="15605" max="15605" width="9.5546875" style="29" customWidth="1"/>
    <col min="15606" max="15606" width="71.109375" style="29" customWidth="1"/>
    <col min="15607" max="15607" width="16.33203125" style="29" customWidth="1"/>
    <col min="15608" max="15608" width="21.88671875" style="29" customWidth="1"/>
    <col min="15609" max="15609" width="4.109375" style="29" customWidth="1"/>
    <col min="15610" max="15860" width="9.109375" style="29"/>
    <col min="15861" max="15861" width="9.5546875" style="29" customWidth="1"/>
    <col min="15862" max="15862" width="71.109375" style="29" customWidth="1"/>
    <col min="15863" max="15863" width="16.33203125" style="29" customWidth="1"/>
    <col min="15864" max="15864" width="21.88671875" style="29" customWidth="1"/>
    <col min="15865" max="15865" width="4.109375" style="29" customWidth="1"/>
    <col min="15866" max="16116" width="9.109375" style="29"/>
    <col min="16117" max="16117" width="9.5546875" style="29" customWidth="1"/>
    <col min="16118" max="16118" width="71.109375" style="29" customWidth="1"/>
    <col min="16119" max="16119" width="16.33203125" style="29" customWidth="1"/>
    <col min="16120" max="16120" width="21.88671875" style="29" customWidth="1"/>
    <col min="16121" max="16121" width="4.109375" style="29" customWidth="1"/>
    <col min="16122" max="16384" width="9.109375" style="29"/>
  </cols>
  <sheetData>
    <row r="1" spans="1:5" s="49" customFormat="1" ht="14.4">
      <c r="A1" s="82" t="s">
        <v>6</v>
      </c>
      <c r="B1" s="83" t="s">
        <v>7</v>
      </c>
      <c r="C1" s="1120" t="s">
        <v>93</v>
      </c>
      <c r="D1" s="55"/>
      <c r="E1" s="84"/>
    </row>
    <row r="2" spans="1:5" s="15" customFormat="1" ht="15" customHeight="1">
      <c r="A2" s="85"/>
      <c r="B2" s="36" t="s">
        <v>230</v>
      </c>
      <c r="C2" s="1121"/>
      <c r="D2" s="54"/>
      <c r="E2" s="86"/>
    </row>
    <row r="3" spans="1:5" ht="14.25" customHeight="1">
      <c r="A3" s="87"/>
      <c r="B3" s="50"/>
      <c r="C3" s="1122"/>
    </row>
    <row r="4" spans="1:5" ht="14.25" customHeight="1">
      <c r="A4" s="87"/>
      <c r="B4" s="90" t="s">
        <v>83</v>
      </c>
      <c r="C4" s="1122"/>
    </row>
    <row r="5" spans="1:5" ht="14.25" customHeight="1">
      <c r="A5" s="87"/>
      <c r="C5" s="1122"/>
    </row>
    <row r="6" spans="1:5" ht="14.25" customHeight="1">
      <c r="A6" s="87"/>
      <c r="B6" s="92"/>
      <c r="C6" s="1122"/>
    </row>
    <row r="7" spans="1:5" ht="14.25" customHeight="1">
      <c r="A7" s="87">
        <v>1</v>
      </c>
      <c r="B7" s="92" t="s">
        <v>104</v>
      </c>
      <c r="C7" s="1122">
        <f>'1 Preliminaries '!C455</f>
        <v>0</v>
      </c>
    </row>
    <row r="8" spans="1:5" ht="14.25" customHeight="1">
      <c r="A8" s="87"/>
      <c r="B8" s="92"/>
      <c r="C8" s="1123"/>
    </row>
    <row r="9" spans="1:5" ht="14.25" customHeight="1">
      <c r="A9" s="87"/>
      <c r="B9" s="93"/>
      <c r="C9" s="1122"/>
    </row>
    <row r="10" spans="1:5" ht="14.25" customHeight="1">
      <c r="A10" s="87">
        <v>2</v>
      </c>
      <c r="B10" s="93" t="str">
        <f>'2 Office Block'!B3</f>
        <v>SECTION 2: OFFICES</v>
      </c>
      <c r="C10" s="1122">
        <f>'2 Office Block'!F207</f>
        <v>0</v>
      </c>
    </row>
    <row r="11" spans="1:5" ht="14.25" customHeight="1">
      <c r="A11" s="87"/>
      <c r="B11" s="93"/>
      <c r="C11" s="1122"/>
    </row>
    <row r="12" spans="1:5" ht="14.25" customHeight="1">
      <c r="A12" s="87"/>
      <c r="B12" s="93"/>
      <c r="C12" s="1122"/>
    </row>
    <row r="13" spans="1:5" ht="14.25" customHeight="1">
      <c r="A13" s="87">
        <v>3</v>
      </c>
      <c r="B13" s="93" t="str">
        <f>'3 Kitchen, Dining BLock'!B3</f>
        <v>SECTION 3: KITCHEN, DINNING AND PRAYER ROOM</v>
      </c>
      <c r="C13" s="1122">
        <f>'3 Kitchen, Dining BLock'!F208</f>
        <v>0</v>
      </c>
    </row>
    <row r="14" spans="1:5" ht="14.25" customHeight="1">
      <c r="A14" s="87"/>
      <c r="B14" s="92"/>
      <c r="C14" s="1122"/>
    </row>
    <row r="15" spans="1:5" ht="14.25" customHeight="1">
      <c r="A15" s="87"/>
      <c r="B15" s="92"/>
      <c r="C15" s="1122"/>
    </row>
    <row r="16" spans="1:5" ht="14.25" customHeight="1">
      <c r="A16" s="87">
        <v>4</v>
      </c>
      <c r="B16" s="93" t="str">
        <f>'4 security House'!B3</f>
        <v>SECTION 4: SECURITY HOUSE</v>
      </c>
      <c r="C16" s="1122">
        <f>'4 security House'!F143</f>
        <v>0</v>
      </c>
    </row>
    <row r="17" spans="1:5" ht="14.25" customHeight="1">
      <c r="A17" s="87"/>
      <c r="B17" s="92"/>
      <c r="C17" s="1122"/>
    </row>
    <row r="18" spans="1:5" ht="14.25" customHeight="1">
      <c r="A18" s="87"/>
      <c r="B18" s="92"/>
      <c r="C18" s="1122"/>
    </row>
    <row r="19" spans="1:5" ht="14.25" customHeight="1">
      <c r="A19" s="87">
        <v>5</v>
      </c>
      <c r="B19" s="93" t="str">
        <f>'5 Toilet Block'!B3</f>
        <v>SECTION 5: TOILETS</v>
      </c>
      <c r="C19" s="1122">
        <f>'5 Toilet Block'!F187</f>
        <v>0</v>
      </c>
    </row>
    <row r="20" spans="1:5" ht="14.25" customHeight="1">
      <c r="A20" s="87"/>
      <c r="B20" s="92"/>
      <c r="C20" s="1122"/>
    </row>
    <row r="21" spans="1:5" ht="14.25" customHeight="1">
      <c r="A21" s="87"/>
      <c r="B21" s="92"/>
      <c r="C21" s="1122"/>
    </row>
    <row r="22" spans="1:5" ht="14.25" customHeight="1">
      <c r="A22" s="87">
        <v>6</v>
      </c>
      <c r="B22" s="92" t="str">
        <f>'6 WATER TANK'!B5</f>
        <v>SECTION 6: WATER STORAGE TANKS</v>
      </c>
      <c r="C22" s="1122">
        <f>'6 WATER TANK'!F114</f>
        <v>0</v>
      </c>
      <c r="D22" s="94"/>
    </row>
    <row r="23" spans="1:5" ht="14.25" customHeight="1">
      <c r="A23" s="87"/>
      <c r="B23" s="92"/>
      <c r="C23" s="1122"/>
    </row>
    <row r="24" spans="1:5" ht="14.25" customHeight="1">
      <c r="A24" s="87"/>
      <c r="B24" s="92"/>
      <c r="C24" s="1122"/>
    </row>
    <row r="25" spans="1:5" ht="14.25" customHeight="1">
      <c r="A25" s="87">
        <v>7</v>
      </c>
      <c r="B25" s="92" t="str">
        <f>'7 Security Fences'!B3</f>
        <v>SECTION 7: SECURITY FENCES AND GATES</v>
      </c>
      <c r="C25" s="1122">
        <f>'7 Security Fences'!F115</f>
        <v>0</v>
      </c>
    </row>
    <row r="26" spans="1:5" ht="14.25" customHeight="1">
      <c r="A26" s="87"/>
      <c r="B26" s="90"/>
      <c r="C26" s="1122"/>
    </row>
    <row r="27" spans="1:5" ht="14.25" customHeight="1">
      <c r="A27" s="87"/>
      <c r="B27" s="90"/>
      <c r="C27" s="1122"/>
    </row>
    <row r="28" spans="1:5" s="92" customFormat="1" ht="14.25" customHeight="1">
      <c r="A28" s="87">
        <v>8</v>
      </c>
      <c r="B28" s="92" t="str">
        <f>'8 Guard Towers'!B4</f>
        <v>SECTION 8: WATCH TOWERS</v>
      </c>
      <c r="C28" s="1124">
        <f>'8 Guard Towers'!F110</f>
        <v>0</v>
      </c>
      <c r="D28" s="95"/>
      <c r="E28" s="96"/>
    </row>
    <row r="29" spans="1:5" ht="14.25" customHeight="1">
      <c r="A29" s="87"/>
      <c r="B29" s="92"/>
      <c r="C29" s="1122"/>
    </row>
    <row r="30" spans="1:5" ht="14.25" customHeight="1">
      <c r="A30" s="87"/>
      <c r="B30" s="92"/>
      <c r="C30" s="1122"/>
    </row>
    <row r="31" spans="1:5" ht="14.25" customHeight="1">
      <c r="A31" s="87">
        <v>9</v>
      </c>
      <c r="B31" s="92" t="str">
        <f>'9 Street Lights'!B3</f>
        <v xml:space="preserve">SECTION 9: SOLAR STREETLIGHTS </v>
      </c>
      <c r="C31" s="1122">
        <f>'9 Street Lights'!F16</f>
        <v>0</v>
      </c>
    </row>
    <row r="32" spans="1:5" ht="14.25" customHeight="1">
      <c r="A32" s="87"/>
      <c r="B32" s="92"/>
      <c r="C32" s="1122"/>
    </row>
    <row r="33" spans="1:5" ht="14.25" customHeight="1">
      <c r="A33" s="87"/>
      <c r="B33" s="92"/>
      <c r="C33" s="1122"/>
    </row>
    <row r="34" spans="1:5" ht="14.25" customHeight="1">
      <c r="A34" s="87">
        <v>10</v>
      </c>
      <c r="B34" s="92" t="str">
        <f>'10 Septic Tank'!B5</f>
        <v>SECTION 10: SEPTIC TANK</v>
      </c>
      <c r="C34" s="1122">
        <f>'10 Septic Tank'!F54</f>
        <v>0</v>
      </c>
    </row>
    <row r="35" spans="1:5" s="472" customFormat="1" ht="14.25" customHeight="1">
      <c r="A35" s="473"/>
      <c r="B35" s="475"/>
      <c r="C35" s="1122"/>
      <c r="D35" s="474"/>
      <c r="E35" s="89"/>
    </row>
    <row r="36" spans="1:5" ht="14.25" customHeight="1">
      <c r="A36" s="87"/>
      <c r="B36" s="92"/>
      <c r="C36" s="1122"/>
    </row>
    <row r="37" spans="1:5" ht="14.25" customHeight="1">
      <c r="A37" s="87">
        <v>11</v>
      </c>
      <c r="B37" s="92" t="str">
        <f>'11 External Works'!B3</f>
        <v>SECTION 11: EXTERNAL WORKS</v>
      </c>
      <c r="C37" s="1122">
        <f>'11 External Works'!F40</f>
        <v>0</v>
      </c>
    </row>
    <row r="38" spans="1:5" ht="14.25" customHeight="1">
      <c r="A38" s="87"/>
      <c r="B38" s="92"/>
      <c r="C38" s="1122"/>
    </row>
    <row r="39" spans="1:5" ht="14.25" customHeight="1">
      <c r="A39" s="87">
        <v>12</v>
      </c>
      <c r="B39" s="92" t="s">
        <v>937</v>
      </c>
      <c r="C39" s="1122">
        <f>'12 Accommodation'!F198</f>
        <v>0</v>
      </c>
    </row>
    <row r="40" spans="1:5" s="472" customFormat="1" ht="14.25" customHeight="1">
      <c r="A40" s="473"/>
      <c r="B40" s="475"/>
      <c r="C40" s="1122"/>
      <c r="D40" s="474"/>
      <c r="E40" s="89"/>
    </row>
    <row r="41" spans="1:5" s="472" customFormat="1" ht="14.25" customHeight="1">
      <c r="A41" s="473"/>
      <c r="B41" s="475"/>
      <c r="C41" s="1122"/>
      <c r="D41" s="474"/>
      <c r="E41" s="89"/>
    </row>
    <row r="42" spans="1:5" ht="14.25" customHeight="1">
      <c r="A42" s="87"/>
      <c r="B42" s="97" t="s">
        <v>401</v>
      </c>
      <c r="C42" s="1125">
        <f>SUM(C4:C39)</f>
        <v>0</v>
      </c>
      <c r="D42" s="94"/>
    </row>
    <row r="43" spans="1:5" ht="14.25" customHeight="1">
      <c r="A43" s="87"/>
      <c r="B43" s="92"/>
      <c r="C43" s="1122"/>
      <c r="E43" s="89">
        <v>195213</v>
      </c>
    </row>
    <row r="44" spans="1:5" ht="14.25" customHeight="1">
      <c r="A44" s="87"/>
      <c r="B44" s="92"/>
      <c r="C44" s="1122"/>
    </row>
    <row r="45" spans="1:5" ht="14.25" customHeight="1">
      <c r="A45" s="87"/>
      <c r="B45" s="97" t="s">
        <v>402</v>
      </c>
      <c r="C45" s="1125">
        <f>SUM(C42:C44)</f>
        <v>0</v>
      </c>
    </row>
    <row r="46" spans="1:5" ht="14.25" customHeight="1">
      <c r="A46" s="87"/>
      <c r="B46" s="92"/>
      <c r="C46" s="1122"/>
    </row>
    <row r="47" spans="1:5" s="100" customFormat="1" ht="14.25" customHeight="1">
      <c r="A47" s="87"/>
      <c r="B47" s="92" t="s">
        <v>84</v>
      </c>
      <c r="C47" s="1122"/>
      <c r="D47" s="98"/>
      <c r="E47" s="99">
        <v>25000</v>
      </c>
    </row>
    <row r="48" spans="1:5" s="100" customFormat="1" ht="14.25" customHeight="1">
      <c r="A48" s="87"/>
      <c r="B48" s="92"/>
      <c r="C48" s="1122"/>
      <c r="D48" s="101"/>
      <c r="E48" s="99">
        <v>75000</v>
      </c>
    </row>
    <row r="49" spans="1:5" s="100" customFormat="1" ht="14.25" customHeight="1">
      <c r="A49" s="87"/>
      <c r="B49" s="92" t="s">
        <v>403</v>
      </c>
      <c r="C49" s="1122"/>
      <c r="D49" s="98"/>
      <c r="E49" s="99">
        <v>200000</v>
      </c>
    </row>
    <row r="50" spans="1:5" s="100" customFormat="1" ht="14.25" customHeight="1">
      <c r="A50" s="87"/>
      <c r="B50" s="92"/>
      <c r="C50" s="1122"/>
      <c r="D50" s="101"/>
      <c r="E50" s="99">
        <v>250000</v>
      </c>
    </row>
    <row r="51" spans="1:5" s="100" customFormat="1" ht="14.25" customHeight="1">
      <c r="A51" s="87"/>
      <c r="B51" s="92" t="s">
        <v>85</v>
      </c>
      <c r="C51" s="1122"/>
      <c r="D51" s="101"/>
      <c r="E51" s="99">
        <v>100000</v>
      </c>
    </row>
    <row r="52" spans="1:5" s="100" customFormat="1" ht="14.25" customHeight="1">
      <c r="A52" s="87"/>
      <c r="B52" s="92"/>
      <c r="C52" s="1122"/>
      <c r="D52" s="101"/>
      <c r="E52" s="99">
        <v>200000</v>
      </c>
    </row>
    <row r="53" spans="1:5" s="100" customFormat="1" ht="14.25" customHeight="1">
      <c r="A53" s="87"/>
      <c r="B53" s="92" t="s">
        <v>86</v>
      </c>
      <c r="C53" s="1122"/>
      <c r="D53" s="101"/>
      <c r="E53" s="99">
        <f>SUM(E43:E52)</f>
        <v>1045213</v>
      </c>
    </row>
    <row r="54" spans="1:5" s="100" customFormat="1" ht="14.25" customHeight="1">
      <c r="A54" s="87"/>
      <c r="B54" s="92"/>
      <c r="C54" s="1122"/>
      <c r="D54" s="101"/>
      <c r="E54" s="99"/>
    </row>
    <row r="55" spans="1:5" s="100" customFormat="1" ht="14.25" customHeight="1">
      <c r="A55" s="87"/>
      <c r="B55" s="92" t="s">
        <v>87</v>
      </c>
      <c r="C55" s="1122"/>
      <c r="D55" s="101"/>
      <c r="E55" s="99"/>
    </row>
    <row r="56" spans="1:5" s="100" customFormat="1" ht="14.25" customHeight="1">
      <c r="A56" s="87"/>
      <c r="B56" s="92"/>
      <c r="C56" s="1122"/>
      <c r="D56" s="101"/>
      <c r="E56" s="99"/>
    </row>
    <row r="57" spans="1:5" s="100" customFormat="1" ht="14.25" customHeight="1">
      <c r="A57" s="87"/>
      <c r="B57" s="92"/>
      <c r="C57" s="1122"/>
      <c r="D57" s="101"/>
      <c r="E57" s="99"/>
    </row>
    <row r="58" spans="1:5" s="100" customFormat="1" ht="14.25" customHeight="1">
      <c r="A58" s="87"/>
      <c r="B58" s="92" t="s">
        <v>88</v>
      </c>
      <c r="C58" s="1122"/>
      <c r="D58" s="101"/>
      <c r="E58" s="99"/>
    </row>
    <row r="59" spans="1:5" s="100" customFormat="1" ht="14.25" customHeight="1">
      <c r="A59" s="87"/>
      <c r="B59" s="92"/>
      <c r="C59" s="1122"/>
      <c r="D59" s="101"/>
      <c r="E59" s="99"/>
    </row>
    <row r="60" spans="1:5" s="100" customFormat="1" ht="14.25" customHeight="1">
      <c r="A60" s="87"/>
      <c r="B60" s="92" t="s">
        <v>404</v>
      </c>
      <c r="C60" s="1122"/>
      <c r="D60" s="101"/>
      <c r="E60" s="99"/>
    </row>
    <row r="61" spans="1:5" s="100" customFormat="1" ht="14.25" customHeight="1">
      <c r="A61" s="87"/>
      <c r="B61" s="92"/>
      <c r="C61" s="1122"/>
      <c r="D61" s="101"/>
      <c r="E61" s="99"/>
    </row>
    <row r="62" spans="1:5" s="100" customFormat="1" ht="14.25" customHeight="1">
      <c r="A62" s="87"/>
      <c r="B62" s="92" t="s">
        <v>89</v>
      </c>
      <c r="C62" s="1122"/>
      <c r="D62" s="101"/>
      <c r="E62" s="99"/>
    </row>
    <row r="63" spans="1:5" s="100" customFormat="1" ht="14.25" customHeight="1">
      <c r="A63" s="87"/>
      <c r="B63" s="92"/>
      <c r="C63" s="1122"/>
      <c r="D63" s="101"/>
      <c r="E63" s="99"/>
    </row>
    <row r="64" spans="1:5" s="100" customFormat="1" ht="14.25" customHeight="1">
      <c r="A64" s="87"/>
      <c r="B64" s="92" t="s">
        <v>86</v>
      </c>
      <c r="C64" s="1122"/>
      <c r="D64" s="101"/>
      <c r="E64" s="99"/>
    </row>
    <row r="65" spans="1:5" s="100" customFormat="1" ht="14.25" customHeight="1">
      <c r="A65" s="87"/>
      <c r="B65" s="92"/>
      <c r="C65" s="1122"/>
      <c r="D65" s="101"/>
      <c r="E65" s="99"/>
    </row>
    <row r="66" spans="1:5" s="100" customFormat="1" ht="14.25" customHeight="1">
      <c r="A66" s="87"/>
      <c r="B66" s="92" t="s">
        <v>90</v>
      </c>
      <c r="C66" s="1122"/>
      <c r="D66" s="101"/>
      <c r="E66" s="99"/>
    </row>
  </sheetData>
  <customSheetViews>
    <customSheetView guid="{58A41188-4CB9-4607-A927-9B98665919B2}" scale="70" showPageBreaks="1" printArea="1" view="pageBreakPreview" topLeftCell="A6">
      <selection activeCell="F61" sqref="F61"/>
      <pageMargins left="0.2" right="0.2" top="0.75" bottom="0.5" header="0.45" footer="0.3"/>
      <printOptions horizontalCentered="1"/>
      <pageSetup scale="75" orientation="portrait" r:id="rId1"/>
      <headerFooter alignWithMargins="0">
        <oddHeader>&amp;LGRAND SUMMARY&amp;R PROPOSED SHIBIS DISTRICT NEW POLICE STATION</oddHeader>
        <oddFooter>&amp;CGrand Summary</oddFooter>
      </headerFooter>
    </customSheetView>
    <customSheetView guid="{1E933494-4ABB-4290-95BF-88ADDB331983}" scale="108" showPageBreaks="1" printArea="1" view="pageBreakPreview" topLeftCell="A54">
      <selection activeCell="D68" sqref="A1:D68"/>
      <pageMargins left="0.2" right="0.2" top="0.75" bottom="0.5" header="0.45" footer="0.3"/>
      <printOptions horizontalCentered="1"/>
      <pageSetup scale="73" orientation="portrait" r:id="rId2"/>
      <headerFooter alignWithMargins="0">
        <oddHeader>&amp;LGRAND SUMMARY&amp;R PROPOSED SHIBIS DISTRICT NEW POLICE STATION</oddHeader>
        <oddFooter>&amp;CGrand Summary</oddFooter>
      </headerFooter>
    </customSheetView>
  </customSheetViews>
  <printOptions horizontalCentered="1"/>
  <pageMargins left="0.2" right="0.2" top="0.75" bottom="0.5" header="0.45" footer="0.3"/>
  <pageSetup scale="73" orientation="portrait" r:id="rId3"/>
  <headerFooter alignWithMargins="0">
    <oddHeader>&amp;LGRAND SUMMARY&amp;R PROPOSED SHIBIS DISTRICT NEW POLICE STATION</oddHeader>
    <oddFooter>&amp;CGrand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07"/>
  <sheetViews>
    <sheetView view="pageBreakPreview" zoomScale="112" zoomScaleNormal="100" zoomScaleSheetLayoutView="112" workbookViewId="0">
      <pane xSplit="2" ySplit="1" topLeftCell="C2" activePane="bottomRight" state="frozen"/>
      <selection pane="topRight" activeCell="C1" sqref="C1"/>
      <selection pane="bottomLeft" activeCell="A2" sqref="A2"/>
      <selection pane="bottomRight" activeCell="F184" sqref="F184"/>
    </sheetView>
  </sheetViews>
  <sheetFormatPr defaultColWidth="8.88671875" defaultRowHeight="14.4"/>
  <cols>
    <col min="1" max="1" width="6.6640625" style="377" bestFit="1" customWidth="1"/>
    <col min="2" max="2" width="45.6640625" style="472" customWidth="1"/>
    <col min="3" max="3" width="8.88671875" style="472"/>
    <col min="4" max="4" width="8.44140625" style="472" bestFit="1" customWidth="1"/>
    <col min="5" max="5" width="8.5546875" style="472" customWidth="1"/>
    <col min="6" max="6" width="14.6640625" style="1011" bestFit="1" customWidth="1"/>
    <col min="7" max="16384" width="8.88671875" style="472"/>
  </cols>
  <sheetData>
    <row r="1" spans="1:7">
      <c r="A1" s="59" t="s">
        <v>82</v>
      </c>
      <c r="B1" s="38" t="s">
        <v>7</v>
      </c>
      <c r="C1" s="37" t="s">
        <v>141</v>
      </c>
      <c r="D1" s="56" t="s">
        <v>142</v>
      </c>
      <c r="E1" s="57" t="s">
        <v>143</v>
      </c>
      <c r="F1" s="977" t="s">
        <v>289</v>
      </c>
    </row>
    <row r="2" spans="1:7">
      <c r="A2" s="764"/>
      <c r="B2" s="11">
        <f>'1 Preliminaries '!I5</f>
        <v>0</v>
      </c>
      <c r="C2" s="27"/>
      <c r="D2" s="32"/>
      <c r="E2" s="51"/>
      <c r="F2" s="978"/>
    </row>
    <row r="3" spans="1:7">
      <c r="A3" s="764"/>
      <c r="B3" s="28" t="s">
        <v>400</v>
      </c>
      <c r="C3" s="27"/>
      <c r="D3" s="32"/>
      <c r="E3" s="51"/>
      <c r="F3" s="978"/>
    </row>
    <row r="4" spans="1:7">
      <c r="A4" s="764"/>
      <c r="B4" s="28"/>
      <c r="C4" s="27"/>
      <c r="D4" s="32"/>
      <c r="E4" s="51"/>
      <c r="F4" s="978"/>
    </row>
    <row r="5" spans="1:7">
      <c r="A5" s="358">
        <v>2</v>
      </c>
      <c r="B5" s="11" t="s">
        <v>514</v>
      </c>
      <c r="C5" s="12"/>
      <c r="D5" s="13"/>
      <c r="E5" s="33"/>
      <c r="F5" s="979"/>
    </row>
    <row r="6" spans="1:7">
      <c r="A6" s="358"/>
      <c r="B6" s="19"/>
      <c r="C6" s="12"/>
      <c r="D6" s="13"/>
      <c r="E6" s="33"/>
      <c r="F6" s="979"/>
    </row>
    <row r="7" spans="1:7">
      <c r="A7" s="358">
        <v>2.1</v>
      </c>
      <c r="B7" s="11" t="s">
        <v>290</v>
      </c>
      <c r="C7" s="12"/>
      <c r="D7" s="13"/>
      <c r="E7" s="33"/>
      <c r="F7" s="979"/>
    </row>
    <row r="8" spans="1:7" ht="28.8">
      <c r="A8" s="358" t="s">
        <v>442</v>
      </c>
      <c r="B8" s="16" t="s">
        <v>496</v>
      </c>
      <c r="C8" s="13" t="s">
        <v>482</v>
      </c>
      <c r="D8" s="237">
        <f>CEILING(62*0.3,1)</f>
        <v>19</v>
      </c>
      <c r="E8" s="238"/>
      <c r="F8" s="979">
        <f t="shared" ref="F8" si="0">D8*E8</f>
        <v>0</v>
      </c>
    </row>
    <row r="9" spans="1:7" ht="16.2">
      <c r="A9" s="358" t="s">
        <v>443</v>
      </c>
      <c r="B9" s="16" t="s">
        <v>499</v>
      </c>
      <c r="C9" s="13" t="s">
        <v>278</v>
      </c>
      <c r="D9" s="13">
        <v>420</v>
      </c>
      <c r="E9" s="33"/>
      <c r="F9" s="979">
        <f>D9*E9</f>
        <v>0</v>
      </c>
    </row>
    <row r="10" spans="1:7" ht="42" customHeight="1">
      <c r="A10" s="764" t="s">
        <v>444</v>
      </c>
      <c r="B10" s="16" t="s">
        <v>291</v>
      </c>
      <c r="C10" s="13" t="s">
        <v>278</v>
      </c>
      <c r="D10" s="13">
        <f>D9</f>
        <v>420</v>
      </c>
      <c r="E10" s="33"/>
      <c r="F10" s="979">
        <f>D10*E10</f>
        <v>0</v>
      </c>
    </row>
    <row r="11" spans="1:7" ht="28.8">
      <c r="A11" s="358" t="s">
        <v>445</v>
      </c>
      <c r="B11" s="239" t="s">
        <v>1192</v>
      </c>
      <c r="C11" s="13" t="s">
        <v>482</v>
      </c>
      <c r="D11" s="237">
        <f>CEILING((143+6.5*14)*1*0.6,1)</f>
        <v>141</v>
      </c>
      <c r="E11" s="238"/>
      <c r="F11" s="979">
        <f t="shared" ref="F11" si="1">D11*E11</f>
        <v>0</v>
      </c>
      <c r="G11" s="472">
        <v>38</v>
      </c>
    </row>
    <row r="12" spans="1:7" ht="28.8">
      <c r="A12" s="358" t="s">
        <v>446</v>
      </c>
      <c r="B12" s="239" t="s">
        <v>1193</v>
      </c>
      <c r="C12" s="13" t="s">
        <v>278</v>
      </c>
      <c r="D12" s="237">
        <f>CEILING((143+6.5*14)*0.8,1)</f>
        <v>188</v>
      </c>
      <c r="E12" s="238"/>
      <c r="F12" s="979">
        <f>D12*E12</f>
        <v>0</v>
      </c>
    </row>
    <row r="13" spans="1:7">
      <c r="A13" s="358"/>
      <c r="B13" s="11" t="s">
        <v>500</v>
      </c>
      <c r="C13" s="13"/>
      <c r="D13" s="13"/>
      <c r="E13" s="33"/>
      <c r="F13" s="980"/>
    </row>
    <row r="14" spans="1:7" ht="28.8">
      <c r="A14" s="358" t="s">
        <v>447</v>
      </c>
      <c r="B14" s="16" t="s">
        <v>501</v>
      </c>
      <c r="C14" s="13" t="s">
        <v>278</v>
      </c>
      <c r="D14" s="13">
        <f>D10</f>
        <v>420</v>
      </c>
      <c r="E14" s="33"/>
      <c r="F14" s="979">
        <f>D14*E14</f>
        <v>0</v>
      </c>
    </row>
    <row r="15" spans="1:7" ht="43.2">
      <c r="A15" s="358" t="s">
        <v>449</v>
      </c>
      <c r="B15" s="16" t="s">
        <v>502</v>
      </c>
      <c r="C15" s="13" t="s">
        <v>278</v>
      </c>
      <c r="D15" s="13">
        <f>D14</f>
        <v>420</v>
      </c>
      <c r="E15" s="33"/>
      <c r="F15" s="979">
        <f>D15*E15</f>
        <v>0</v>
      </c>
    </row>
    <row r="16" spans="1:7">
      <c r="A16" s="358"/>
      <c r="B16" s="11" t="s">
        <v>120</v>
      </c>
      <c r="C16" s="12"/>
      <c r="D16" s="13"/>
      <c r="E16" s="33"/>
      <c r="F16" s="979">
        <f t="shared" ref="F16:F19" si="2">D16*E16</f>
        <v>0</v>
      </c>
    </row>
    <row r="17" spans="1:8" ht="57.6">
      <c r="A17" s="358" t="s">
        <v>450</v>
      </c>
      <c r="B17" s="16" t="s">
        <v>483</v>
      </c>
      <c r="C17" s="13" t="s">
        <v>278</v>
      </c>
      <c r="D17" s="13">
        <f>D15</f>
        <v>420</v>
      </c>
      <c r="E17" s="33"/>
      <c r="F17" s="979">
        <f t="shared" ref="F17" si="3">D17*E17</f>
        <v>0</v>
      </c>
    </row>
    <row r="18" spans="1:8">
      <c r="A18" s="358"/>
      <c r="B18" s="11" t="s">
        <v>108</v>
      </c>
      <c r="C18" s="12"/>
      <c r="D18" s="13"/>
      <c r="E18" s="33"/>
      <c r="F18" s="979">
        <f t="shared" si="2"/>
        <v>0</v>
      </c>
    </row>
    <row r="19" spans="1:8" ht="57.6">
      <c r="A19" s="358" t="s">
        <v>451</v>
      </c>
      <c r="B19" s="16" t="s">
        <v>503</v>
      </c>
      <c r="C19" s="13" t="s">
        <v>278</v>
      </c>
      <c r="D19" s="13">
        <f>D17</f>
        <v>420</v>
      </c>
      <c r="E19" s="33"/>
      <c r="F19" s="979">
        <f t="shared" si="2"/>
        <v>0</v>
      </c>
    </row>
    <row r="20" spans="1:8">
      <c r="A20" s="358"/>
      <c r="B20" s="11" t="s">
        <v>284</v>
      </c>
      <c r="C20" s="12"/>
      <c r="D20" s="13"/>
      <c r="E20" s="33"/>
      <c r="F20" s="979">
        <f>D20*E20</f>
        <v>0</v>
      </c>
    </row>
    <row r="21" spans="1:8" ht="28.8">
      <c r="A21" s="358" t="s">
        <v>452</v>
      </c>
      <c r="B21" s="16" t="s">
        <v>974</v>
      </c>
      <c r="C21" s="13" t="s">
        <v>285</v>
      </c>
      <c r="D21" s="13">
        <f>CEILING(44*2+71,1)</f>
        <v>159</v>
      </c>
      <c r="E21" s="33"/>
      <c r="F21" s="979">
        <f>D21*E21</f>
        <v>0</v>
      </c>
    </row>
    <row r="22" spans="1:8">
      <c r="A22" s="358"/>
      <c r="B22" s="11" t="s">
        <v>293</v>
      </c>
      <c r="C22" s="13"/>
      <c r="D22" s="13"/>
      <c r="E22" s="33"/>
      <c r="F22" s="979">
        <f>D22*E22</f>
        <v>0</v>
      </c>
    </row>
    <row r="23" spans="1:8" s="15" customFormat="1" ht="43.2">
      <c r="A23" s="758"/>
      <c r="B23" s="759" t="s">
        <v>977</v>
      </c>
      <c r="C23" s="760"/>
      <c r="D23" s="761"/>
      <c r="E23" s="760"/>
      <c r="F23" s="981"/>
    </row>
    <row r="24" spans="1:8" s="15" customFormat="1">
      <c r="A24" s="758" t="s">
        <v>519</v>
      </c>
      <c r="B24" s="762" t="s">
        <v>976</v>
      </c>
      <c r="C24" s="760" t="s">
        <v>102</v>
      </c>
      <c r="D24" s="761">
        <f>CEILING((143+6.5*14)*3*1.15*0.395,1)+724+398</f>
        <v>1441</v>
      </c>
      <c r="E24" s="760"/>
      <c r="F24" s="981">
        <f>E24*D24</f>
        <v>0</v>
      </c>
    </row>
    <row r="25" spans="1:8" s="15" customFormat="1">
      <c r="A25" s="870"/>
      <c r="B25" s="762" t="s">
        <v>1202</v>
      </c>
      <c r="C25" s="760" t="s">
        <v>102</v>
      </c>
      <c r="D25" s="761">
        <f>CEILING((143+6.5*14)/0.2*0.7*0.617,1)</f>
        <v>506</v>
      </c>
      <c r="E25" s="760"/>
      <c r="F25" s="981">
        <f>E25*D25</f>
        <v>0</v>
      </c>
    </row>
    <row r="26" spans="1:8" s="15" customFormat="1">
      <c r="A26" s="758" t="s">
        <v>520</v>
      </c>
      <c r="B26" s="762" t="s">
        <v>973</v>
      </c>
      <c r="C26" s="760" t="s">
        <v>102</v>
      </c>
      <c r="D26" s="761">
        <f>528+384+(220)*4*1.15*0.888</f>
        <v>1810.6559999999999</v>
      </c>
      <c r="E26" s="760"/>
      <c r="F26" s="981">
        <f>E26*D26</f>
        <v>0</v>
      </c>
    </row>
    <row r="27" spans="1:8" ht="28.8">
      <c r="A27" s="758" t="s">
        <v>975</v>
      </c>
      <c r="B27" s="16" t="s">
        <v>294</v>
      </c>
      <c r="C27" s="13" t="s">
        <v>278</v>
      </c>
      <c r="D27" s="13">
        <f>D19</f>
        <v>420</v>
      </c>
      <c r="E27" s="33"/>
      <c r="F27" s="979">
        <f>D27*E27</f>
        <v>0</v>
      </c>
    </row>
    <row r="28" spans="1:8">
      <c r="A28" s="358"/>
      <c r="B28" s="19" t="s">
        <v>295</v>
      </c>
      <c r="C28" s="12"/>
      <c r="D28" s="13"/>
      <c r="E28" s="33"/>
      <c r="F28" s="979"/>
    </row>
    <row r="29" spans="1:8" ht="28.8">
      <c r="A29" s="358"/>
      <c r="B29" s="34" t="s">
        <v>153</v>
      </c>
      <c r="C29" s="12"/>
      <c r="D29" s="13"/>
      <c r="E29" s="33"/>
      <c r="F29" s="979">
        <f>D29*E29</f>
        <v>0</v>
      </c>
    </row>
    <row r="30" spans="1:8" ht="16.2">
      <c r="A30" s="358" t="s">
        <v>978</v>
      </c>
      <c r="B30" s="16" t="s">
        <v>296</v>
      </c>
      <c r="C30" s="13" t="s">
        <v>482</v>
      </c>
      <c r="D30" s="13">
        <v>58</v>
      </c>
      <c r="E30" s="33"/>
      <c r="F30" s="979">
        <f>D30*E30</f>
        <v>0</v>
      </c>
      <c r="H30" s="472">
        <f>24*2*120</f>
        <v>5760</v>
      </c>
    </row>
    <row r="31" spans="1:8">
      <c r="A31" s="755" t="s">
        <v>979</v>
      </c>
      <c r="B31" s="763" t="s">
        <v>980</v>
      </c>
      <c r="C31" s="756" t="s">
        <v>982</v>
      </c>
      <c r="D31" s="237">
        <f>CEILING((143+6.5*14)*0.2*0.6,1)</f>
        <v>29</v>
      </c>
      <c r="E31" s="757"/>
      <c r="F31" s="979">
        <f t="shared" ref="F31:F32" si="4">D31*E31</f>
        <v>0</v>
      </c>
    </row>
    <row r="32" spans="1:8">
      <c r="A32" s="755" t="s">
        <v>981</v>
      </c>
      <c r="B32" s="763" t="s">
        <v>983</v>
      </c>
      <c r="C32" s="756" t="s">
        <v>982</v>
      </c>
      <c r="D32" s="237">
        <f>CEILING((143+6.5*14)*0.4*0.2,1)</f>
        <v>19</v>
      </c>
      <c r="E32" s="757"/>
      <c r="F32" s="979">
        <f t="shared" si="4"/>
        <v>0</v>
      </c>
    </row>
    <row r="33" spans="1:8">
      <c r="A33" s="755"/>
      <c r="B33" s="763"/>
      <c r="C33" s="756"/>
      <c r="D33" s="756"/>
      <c r="E33" s="757"/>
      <c r="F33" s="982"/>
    </row>
    <row r="34" spans="1:8">
      <c r="A34" s="358"/>
      <c r="B34" s="11"/>
      <c r="C34" s="37"/>
      <c r="D34" s="56"/>
      <c r="E34" s="57"/>
      <c r="F34" s="977"/>
    </row>
    <row r="35" spans="1:8">
      <c r="A35" s="358"/>
      <c r="B35" s="34"/>
      <c r="C35" s="12"/>
      <c r="D35" s="765"/>
      <c r="E35" s="33"/>
      <c r="F35" s="978"/>
    </row>
    <row r="36" spans="1:8">
      <c r="A36" s="358"/>
      <c r="B36" s="16"/>
      <c r="C36" s="13"/>
      <c r="D36" s="766"/>
      <c r="E36" s="33"/>
      <c r="F36" s="978"/>
    </row>
    <row r="37" spans="1:8">
      <c r="A37" s="360"/>
      <c r="B37" s="16"/>
      <c r="C37" s="13"/>
      <c r="D37" s="765"/>
      <c r="E37" s="33"/>
      <c r="F37" s="978"/>
    </row>
    <row r="38" spans="1:8">
      <c r="A38" s="361"/>
      <c r="B38" s="19" t="s">
        <v>460</v>
      </c>
      <c r="C38" s="20"/>
      <c r="D38" s="20"/>
      <c r="E38" s="35"/>
      <c r="F38" s="983">
        <f>SUM(F4:F37)</f>
        <v>0</v>
      </c>
    </row>
    <row r="39" spans="1:8" s="773" customFormat="1">
      <c r="A39" s="767" t="s">
        <v>82</v>
      </c>
      <c r="B39" s="768" t="s">
        <v>7</v>
      </c>
      <c r="C39" s="769" t="s">
        <v>141</v>
      </c>
      <c r="D39" s="770" t="s">
        <v>142</v>
      </c>
      <c r="E39" s="771" t="s">
        <v>143</v>
      </c>
      <c r="F39" s="984" t="s">
        <v>289</v>
      </c>
      <c r="G39" s="772"/>
    </row>
    <row r="40" spans="1:8" s="780" customFormat="1">
      <c r="A40" s="774"/>
      <c r="B40" s="775"/>
      <c r="C40" s="776"/>
      <c r="D40" s="777"/>
      <c r="E40" s="778"/>
      <c r="F40" s="985"/>
      <c r="G40" s="779"/>
    </row>
    <row r="41" spans="1:8" s="787" customFormat="1">
      <c r="A41" s="774">
        <v>2.2000000000000002</v>
      </c>
      <c r="B41" s="782" t="s">
        <v>1039</v>
      </c>
      <c r="C41" s="783"/>
      <c r="D41" s="784"/>
      <c r="E41" s="785"/>
      <c r="F41" s="985"/>
      <c r="G41" s="786"/>
    </row>
    <row r="42" spans="1:8" s="787" customFormat="1">
      <c r="A42" s="781"/>
      <c r="B42" s="788"/>
      <c r="C42" s="783"/>
      <c r="D42" s="784"/>
      <c r="E42" s="785"/>
      <c r="F42" s="985"/>
      <c r="G42" s="786"/>
    </row>
    <row r="43" spans="1:8" s="15" customFormat="1">
      <c r="A43" s="758"/>
      <c r="B43" s="759" t="s">
        <v>984</v>
      </c>
      <c r="C43" s="760"/>
      <c r="D43" s="761"/>
      <c r="E43" s="760"/>
      <c r="F43" s="981"/>
    </row>
    <row r="44" spans="1:8" s="792" customFormat="1">
      <c r="A44" s="789" t="s">
        <v>440</v>
      </c>
      <c r="B44" s="790" t="s">
        <v>998</v>
      </c>
      <c r="C44" s="791" t="s">
        <v>97</v>
      </c>
      <c r="D44" s="237">
        <f>CEILING((143+6.5*14)*0.4*0.4,1)</f>
        <v>38</v>
      </c>
      <c r="E44" s="791"/>
      <c r="F44" s="986">
        <f>E44*D44</f>
        <v>0</v>
      </c>
      <c r="H44" s="792">
        <f>(174.3*0.4*0.45)+(92.15*0.4*0.45)</f>
        <v>47.961000000000013</v>
      </c>
    </row>
    <row r="45" spans="1:8" s="792" customFormat="1" ht="16.2">
      <c r="A45" s="956"/>
      <c r="B45" s="16" t="s">
        <v>1198</v>
      </c>
      <c r="C45" s="13" t="s">
        <v>482</v>
      </c>
      <c r="D45" s="13">
        <v>58</v>
      </c>
      <c r="E45" s="791"/>
      <c r="F45" s="979">
        <f>D45*E45</f>
        <v>0</v>
      </c>
    </row>
    <row r="46" spans="1:8" s="893" customFormat="1">
      <c r="A46" s="964"/>
      <c r="B46" s="958" t="s">
        <v>1205</v>
      </c>
      <c r="C46" s="892" t="s">
        <v>97</v>
      </c>
      <c r="D46" s="32">
        <f>CEILING(54*0.2*0.4*3.3,1)</f>
        <v>15</v>
      </c>
      <c r="E46" s="791"/>
      <c r="F46" s="987">
        <f>D46*E46</f>
        <v>0</v>
      </c>
    </row>
    <row r="47" spans="1:8" s="15" customFormat="1" ht="17.399999999999999" customHeight="1">
      <c r="A47" s="758"/>
      <c r="B47" s="759" t="s">
        <v>377</v>
      </c>
      <c r="C47" s="760"/>
      <c r="D47" s="761"/>
      <c r="E47" s="760"/>
      <c r="F47" s="981"/>
    </row>
    <row r="48" spans="1:8" s="15" customFormat="1">
      <c r="A48" s="758"/>
      <c r="B48" s="759" t="s">
        <v>1189</v>
      </c>
      <c r="C48" s="760"/>
      <c r="D48" s="761"/>
      <c r="E48" s="760"/>
      <c r="F48" s="981"/>
    </row>
    <row r="49" spans="1:7" s="15" customFormat="1">
      <c r="A49" s="758" t="s">
        <v>441</v>
      </c>
      <c r="B49" s="762" t="s">
        <v>1194</v>
      </c>
      <c r="C49" s="760" t="s">
        <v>102</v>
      </c>
      <c r="D49" s="237">
        <v>724</v>
      </c>
      <c r="E49" s="760"/>
      <c r="F49" s="981">
        <f>E49*D49</f>
        <v>0</v>
      </c>
      <c r="G49" s="15">
        <f>D49*110</f>
        <v>79640</v>
      </c>
    </row>
    <row r="50" spans="1:7" s="15" customFormat="1">
      <c r="A50" s="758" t="s">
        <v>453</v>
      </c>
      <c r="B50" s="762" t="s">
        <v>986</v>
      </c>
      <c r="C50" s="760" t="s">
        <v>102</v>
      </c>
      <c r="D50" s="761">
        <f>1071+6631</f>
        <v>7702</v>
      </c>
      <c r="E50" s="760"/>
      <c r="F50" s="981">
        <f>E50*D50</f>
        <v>0</v>
      </c>
    </row>
    <row r="51" spans="1:7" s="15" customFormat="1">
      <c r="A51" s="870"/>
      <c r="B51" s="762" t="s">
        <v>1195</v>
      </c>
      <c r="C51" s="760" t="s">
        <v>102</v>
      </c>
      <c r="D51" s="761">
        <v>153</v>
      </c>
      <c r="E51" s="760"/>
      <c r="F51" s="981">
        <f>E51*D51</f>
        <v>0</v>
      </c>
    </row>
    <row r="52" spans="1:7" s="15" customFormat="1">
      <c r="A52" s="758"/>
      <c r="B52" s="796" t="s">
        <v>987</v>
      </c>
      <c r="C52" s="760"/>
      <c r="D52" s="761"/>
      <c r="E52" s="760"/>
      <c r="F52" s="981"/>
    </row>
    <row r="53" spans="1:7" s="15" customFormat="1">
      <c r="A53" s="758" t="s">
        <v>454</v>
      </c>
      <c r="B53" s="762" t="s">
        <v>988</v>
      </c>
      <c r="C53" s="760" t="s">
        <v>2</v>
      </c>
      <c r="D53" s="13">
        <f>CEILING((143+6.5*14)*0.4*3,1)</f>
        <v>281</v>
      </c>
      <c r="E53" s="760"/>
      <c r="F53" s="981">
        <f>D53*E53</f>
        <v>0</v>
      </c>
    </row>
    <row r="54" spans="1:7" s="797" customFormat="1" ht="28.8">
      <c r="A54" s="793"/>
      <c r="B54" s="793" t="s">
        <v>989</v>
      </c>
      <c r="C54" s="794"/>
      <c r="D54" s="795"/>
      <c r="E54" s="794"/>
      <c r="F54" s="988">
        <f>SUM(F41:F53)</f>
        <v>0</v>
      </c>
    </row>
    <row r="55" spans="1:7" s="797" customFormat="1">
      <c r="A55" s="725"/>
      <c r="B55" s="725"/>
      <c r="C55" s="798"/>
      <c r="D55" s="799"/>
      <c r="E55" s="798"/>
      <c r="F55" s="989"/>
    </row>
    <row r="56" spans="1:7" s="15" customFormat="1">
      <c r="A56" s="883">
        <v>2.2999999999999998</v>
      </c>
      <c r="B56" s="796" t="s">
        <v>1072</v>
      </c>
      <c r="C56" s="760"/>
      <c r="D56" s="761"/>
      <c r="E56" s="760"/>
      <c r="F56" s="981"/>
    </row>
    <row r="57" spans="1:7" s="15" customFormat="1">
      <c r="A57" s="758"/>
      <c r="B57" s="759"/>
      <c r="C57" s="760"/>
      <c r="D57" s="761"/>
      <c r="E57" s="760"/>
      <c r="F57" s="981"/>
    </row>
    <row r="58" spans="1:7" s="15" customFormat="1" ht="57.6">
      <c r="A58" s="758"/>
      <c r="B58" s="800" t="s">
        <v>1190</v>
      </c>
      <c r="C58" s="760"/>
      <c r="D58" s="761"/>
      <c r="E58" s="760"/>
      <c r="F58" s="981"/>
    </row>
    <row r="59" spans="1:7" s="15" customFormat="1">
      <c r="A59" s="758"/>
      <c r="B59" s="759"/>
      <c r="C59" s="760"/>
      <c r="D59" s="761"/>
      <c r="E59" s="760"/>
      <c r="F59" s="981"/>
    </row>
    <row r="60" spans="1:7" s="15" customFormat="1" ht="28.8">
      <c r="A60" s="758" t="s">
        <v>455</v>
      </c>
      <c r="B60" s="762" t="s">
        <v>1191</v>
      </c>
      <c r="C60" s="760" t="s">
        <v>2</v>
      </c>
      <c r="D60" s="801">
        <f>CEILING((168)*3,1)</f>
        <v>504</v>
      </c>
      <c r="E60" s="760"/>
      <c r="F60" s="981">
        <f>E60*D60</f>
        <v>0</v>
      </c>
    </row>
    <row r="61" spans="1:7" s="15" customFormat="1">
      <c r="A61" s="758" t="s">
        <v>456</v>
      </c>
      <c r="B61" s="762" t="s">
        <v>992</v>
      </c>
      <c r="C61" s="760" t="s">
        <v>2</v>
      </c>
      <c r="D61" s="801">
        <f>CEILING((143+6.5*4)*3*1.15,1)</f>
        <v>584</v>
      </c>
      <c r="E61" s="760"/>
      <c r="F61" s="981">
        <f>E61*D61</f>
        <v>0</v>
      </c>
    </row>
    <row r="62" spans="1:7" s="15" customFormat="1">
      <c r="A62" s="758" t="s">
        <v>457</v>
      </c>
      <c r="B62" s="759" t="s">
        <v>994</v>
      </c>
      <c r="C62" s="760"/>
      <c r="D62" s="761"/>
      <c r="E62" s="760"/>
      <c r="F62" s="981"/>
    </row>
    <row r="63" spans="1:7" s="15" customFormat="1">
      <c r="A63" s="758" t="s">
        <v>458</v>
      </c>
      <c r="B63" s="762" t="s">
        <v>996</v>
      </c>
      <c r="C63" s="760" t="s">
        <v>3</v>
      </c>
      <c r="D63" s="801">
        <f>CEILING((65)*3,1)</f>
        <v>195</v>
      </c>
      <c r="E63" s="760"/>
      <c r="F63" s="981">
        <f>E63*D63</f>
        <v>0</v>
      </c>
    </row>
    <row r="64" spans="1:7" s="15" customFormat="1">
      <c r="A64" s="758"/>
      <c r="B64" s="762"/>
      <c r="C64" s="760"/>
      <c r="D64" s="761"/>
      <c r="E64" s="760"/>
      <c r="F64" s="981"/>
    </row>
    <row r="65" spans="1:198" s="15" customFormat="1" ht="28.8">
      <c r="A65" s="758"/>
      <c r="B65" s="793" t="s">
        <v>997</v>
      </c>
      <c r="C65" s="794"/>
      <c r="D65" s="761"/>
      <c r="E65" s="760"/>
      <c r="F65" s="988">
        <f>SUM(F57:F64)</f>
        <v>0</v>
      </c>
    </row>
    <row r="66" spans="1:198" s="808" customFormat="1">
      <c r="A66" s="802"/>
      <c r="B66" s="803"/>
      <c r="C66" s="804"/>
      <c r="D66" s="804"/>
      <c r="E66" s="805"/>
      <c r="F66" s="990"/>
      <c r="G66" s="806"/>
      <c r="H66" s="807"/>
      <c r="I66" s="807"/>
      <c r="J66" s="807"/>
      <c r="K66" s="807"/>
      <c r="L66" s="807"/>
      <c r="M66" s="807"/>
      <c r="N66" s="807"/>
      <c r="O66" s="807"/>
      <c r="P66" s="807"/>
      <c r="Q66" s="807"/>
      <c r="R66" s="807"/>
      <c r="S66" s="807"/>
      <c r="T66" s="807"/>
      <c r="U66" s="807"/>
      <c r="V66" s="807"/>
      <c r="W66" s="807"/>
      <c r="X66" s="807"/>
      <c r="Y66" s="807"/>
      <c r="Z66" s="807"/>
      <c r="AA66" s="807"/>
      <c r="AB66" s="807"/>
      <c r="AC66" s="807"/>
      <c r="AD66" s="807"/>
      <c r="AE66" s="807"/>
      <c r="AF66" s="807"/>
      <c r="AG66" s="807"/>
      <c r="AH66" s="807"/>
      <c r="AI66" s="807"/>
      <c r="AJ66" s="807"/>
      <c r="AK66" s="807"/>
      <c r="AL66" s="807"/>
      <c r="AM66" s="807"/>
      <c r="AN66" s="807"/>
      <c r="AO66" s="807"/>
      <c r="AP66" s="807"/>
      <c r="AQ66" s="807"/>
      <c r="AR66" s="807"/>
      <c r="AS66" s="807"/>
      <c r="AT66" s="807"/>
      <c r="AU66" s="807"/>
      <c r="AV66" s="807"/>
      <c r="AW66" s="807"/>
      <c r="AX66" s="807"/>
      <c r="AY66" s="807"/>
      <c r="AZ66" s="807"/>
      <c r="BA66" s="807"/>
      <c r="BB66" s="807"/>
      <c r="BC66" s="807"/>
      <c r="BD66" s="807"/>
      <c r="BE66" s="807"/>
      <c r="BF66" s="807"/>
      <c r="BG66" s="807"/>
      <c r="BH66" s="807"/>
      <c r="BI66" s="807"/>
      <c r="BJ66" s="807"/>
      <c r="BK66" s="807"/>
      <c r="BL66" s="807"/>
      <c r="BM66" s="807"/>
      <c r="BN66" s="807"/>
      <c r="BO66" s="807"/>
      <c r="BP66" s="807"/>
      <c r="BQ66" s="807"/>
      <c r="BR66" s="807"/>
      <c r="BS66" s="807"/>
      <c r="BT66" s="807"/>
      <c r="BU66" s="807"/>
      <c r="BV66" s="807"/>
      <c r="BW66" s="807"/>
      <c r="BX66" s="807"/>
      <c r="BY66" s="807"/>
      <c r="BZ66" s="807"/>
      <c r="CA66" s="807"/>
      <c r="CB66" s="807"/>
      <c r="CC66" s="807"/>
      <c r="CD66" s="807"/>
      <c r="CE66" s="807"/>
      <c r="CF66" s="807"/>
      <c r="CG66" s="807"/>
      <c r="CH66" s="807"/>
      <c r="CI66" s="807"/>
      <c r="CJ66" s="807"/>
      <c r="CK66" s="807"/>
      <c r="CL66" s="807"/>
      <c r="CM66" s="807"/>
      <c r="CN66" s="807"/>
      <c r="CO66" s="807"/>
      <c r="CP66" s="807"/>
      <c r="CQ66" s="807"/>
      <c r="CR66" s="807"/>
      <c r="CS66" s="807"/>
      <c r="CT66" s="807"/>
      <c r="CU66" s="807"/>
      <c r="CV66" s="807"/>
      <c r="CW66" s="807"/>
      <c r="CX66" s="807"/>
      <c r="CY66" s="807"/>
      <c r="CZ66" s="807"/>
      <c r="DA66" s="807"/>
      <c r="DB66" s="807"/>
      <c r="DC66" s="807"/>
      <c r="DD66" s="807"/>
      <c r="DE66" s="807"/>
      <c r="DF66" s="807"/>
      <c r="DG66" s="807"/>
      <c r="DH66" s="807"/>
      <c r="DI66" s="807"/>
      <c r="DJ66" s="807"/>
      <c r="DK66" s="807"/>
      <c r="DL66" s="807"/>
      <c r="DM66" s="807"/>
      <c r="DN66" s="807"/>
      <c r="DO66" s="807"/>
      <c r="DP66" s="807"/>
      <c r="DQ66" s="807"/>
      <c r="DR66" s="807"/>
      <c r="DS66" s="807"/>
      <c r="DT66" s="807"/>
      <c r="DU66" s="807"/>
      <c r="DV66" s="807"/>
      <c r="DW66" s="807"/>
      <c r="DX66" s="807"/>
      <c r="DY66" s="807"/>
      <c r="DZ66" s="807"/>
      <c r="EA66" s="807"/>
      <c r="EB66" s="807"/>
      <c r="EC66" s="807"/>
      <c r="ED66" s="807"/>
      <c r="EE66" s="807"/>
      <c r="EF66" s="807"/>
      <c r="EG66" s="807"/>
      <c r="EH66" s="807"/>
      <c r="EI66" s="807"/>
      <c r="EJ66" s="807"/>
      <c r="EK66" s="807"/>
      <c r="EL66" s="807"/>
      <c r="EM66" s="807"/>
      <c r="EN66" s="807"/>
      <c r="EO66" s="807"/>
      <c r="EP66" s="807"/>
      <c r="EQ66" s="807"/>
      <c r="ER66" s="807"/>
      <c r="ES66" s="807"/>
      <c r="ET66" s="807"/>
      <c r="EU66" s="807"/>
      <c r="EV66" s="807"/>
      <c r="EW66" s="807"/>
      <c r="EX66" s="807"/>
      <c r="EY66" s="807"/>
      <c r="EZ66" s="807"/>
      <c r="FA66" s="807"/>
      <c r="FB66" s="807"/>
      <c r="FC66" s="807"/>
      <c r="FD66" s="807"/>
      <c r="FE66" s="807"/>
      <c r="FF66" s="807"/>
      <c r="FG66" s="807"/>
      <c r="FH66" s="807"/>
      <c r="FI66" s="807"/>
      <c r="FJ66" s="807"/>
      <c r="FK66" s="807"/>
      <c r="FL66" s="807"/>
      <c r="FM66" s="807"/>
      <c r="FN66" s="807"/>
      <c r="FO66" s="807"/>
      <c r="FP66" s="807"/>
      <c r="FQ66" s="807"/>
      <c r="FR66" s="807"/>
      <c r="FS66" s="807"/>
      <c r="FT66" s="807"/>
      <c r="FU66" s="807"/>
      <c r="FV66" s="807"/>
      <c r="FW66" s="807"/>
      <c r="FX66" s="807"/>
      <c r="FY66" s="807"/>
      <c r="FZ66" s="807"/>
      <c r="GA66" s="807"/>
      <c r="GB66" s="807"/>
      <c r="GC66" s="807"/>
      <c r="GD66" s="807"/>
      <c r="GE66" s="807"/>
      <c r="GF66" s="807"/>
      <c r="GG66" s="807"/>
      <c r="GH66" s="807"/>
      <c r="GI66" s="807"/>
      <c r="GJ66" s="807"/>
      <c r="GK66" s="807"/>
      <c r="GL66" s="807"/>
      <c r="GM66" s="807"/>
      <c r="GN66" s="807"/>
      <c r="GO66" s="807"/>
      <c r="GP66" s="807"/>
    </row>
    <row r="67" spans="1:198" s="813" customFormat="1">
      <c r="A67" s="802">
        <v>2.4</v>
      </c>
      <c r="B67" s="803" t="s">
        <v>999</v>
      </c>
      <c r="C67" s="809"/>
      <c r="D67" s="809"/>
      <c r="E67" s="810"/>
      <c r="F67" s="991"/>
      <c r="G67" s="811"/>
      <c r="H67" s="812"/>
      <c r="I67" s="812"/>
      <c r="J67" s="812"/>
      <c r="K67" s="812"/>
      <c r="L67" s="812"/>
      <c r="M67" s="812"/>
      <c r="N67" s="812"/>
      <c r="O67" s="812"/>
      <c r="P67" s="812"/>
      <c r="Q67" s="812"/>
      <c r="R67" s="812"/>
      <c r="S67" s="812"/>
      <c r="T67" s="812"/>
      <c r="U67" s="812"/>
      <c r="V67" s="812"/>
      <c r="W67" s="812"/>
      <c r="X67" s="812"/>
      <c r="Y67" s="812"/>
      <c r="Z67" s="812"/>
      <c r="AA67" s="812"/>
      <c r="AB67" s="812"/>
      <c r="AC67" s="812"/>
      <c r="AD67" s="812"/>
      <c r="AE67" s="812"/>
      <c r="AF67" s="812"/>
      <c r="AG67" s="812"/>
      <c r="AH67" s="812"/>
      <c r="AI67" s="812"/>
      <c r="AJ67" s="812"/>
      <c r="AK67" s="812"/>
      <c r="AL67" s="812"/>
      <c r="AM67" s="812"/>
      <c r="AN67" s="812"/>
      <c r="AO67" s="812"/>
      <c r="AP67" s="812"/>
      <c r="AQ67" s="812"/>
      <c r="AR67" s="812"/>
      <c r="AS67" s="812"/>
      <c r="AT67" s="812"/>
      <c r="AU67" s="812"/>
      <c r="AV67" s="812"/>
      <c r="AW67" s="812"/>
      <c r="AX67" s="812"/>
      <c r="AY67" s="812"/>
      <c r="AZ67" s="812"/>
      <c r="BA67" s="812"/>
      <c r="BB67" s="812"/>
      <c r="BC67" s="812"/>
      <c r="BD67" s="812"/>
      <c r="BE67" s="812"/>
      <c r="BF67" s="812"/>
      <c r="BG67" s="812"/>
      <c r="BH67" s="812"/>
      <c r="BI67" s="812"/>
      <c r="BJ67" s="812"/>
      <c r="BK67" s="812"/>
      <c r="BL67" s="812"/>
      <c r="BM67" s="812"/>
      <c r="BN67" s="812"/>
      <c r="BO67" s="812"/>
      <c r="BP67" s="812"/>
      <c r="BQ67" s="812"/>
      <c r="BR67" s="812"/>
      <c r="BS67" s="812"/>
      <c r="BT67" s="812"/>
      <c r="BU67" s="812"/>
      <c r="BV67" s="812"/>
      <c r="BW67" s="812"/>
      <c r="BX67" s="812"/>
      <c r="BY67" s="812"/>
      <c r="BZ67" s="812"/>
      <c r="CA67" s="812"/>
      <c r="CB67" s="812"/>
      <c r="CC67" s="812"/>
      <c r="CD67" s="812"/>
      <c r="CE67" s="812"/>
      <c r="CF67" s="812"/>
      <c r="CG67" s="812"/>
      <c r="CH67" s="812"/>
      <c r="CI67" s="812"/>
      <c r="CJ67" s="812"/>
      <c r="CK67" s="812"/>
      <c r="CL67" s="812"/>
      <c r="CM67" s="812"/>
      <c r="CN67" s="812"/>
      <c r="CO67" s="812"/>
      <c r="CP67" s="812"/>
      <c r="CQ67" s="812"/>
      <c r="CR67" s="812"/>
      <c r="CS67" s="812"/>
      <c r="CT67" s="812"/>
      <c r="CU67" s="812"/>
      <c r="CV67" s="812"/>
      <c r="CW67" s="812"/>
      <c r="CX67" s="812"/>
      <c r="CY67" s="812"/>
      <c r="CZ67" s="812"/>
      <c r="DA67" s="812"/>
      <c r="DB67" s="812"/>
      <c r="DC67" s="812"/>
      <c r="DD67" s="812"/>
      <c r="DE67" s="812"/>
      <c r="DF67" s="812"/>
      <c r="DG67" s="812"/>
      <c r="DH67" s="812"/>
      <c r="DI67" s="812"/>
      <c r="DJ67" s="812"/>
      <c r="DK67" s="812"/>
      <c r="DL67" s="812"/>
      <c r="DM67" s="812"/>
      <c r="DN67" s="812"/>
      <c r="DO67" s="812"/>
      <c r="DP67" s="812"/>
      <c r="DQ67" s="812"/>
      <c r="DR67" s="812"/>
      <c r="DS67" s="812"/>
      <c r="DT67" s="812"/>
      <c r="DU67" s="812"/>
      <c r="DV67" s="812"/>
      <c r="DW67" s="812"/>
      <c r="DX67" s="812"/>
      <c r="DY67" s="812"/>
      <c r="DZ67" s="812"/>
      <c r="EA67" s="812"/>
      <c r="EB67" s="812"/>
      <c r="EC67" s="812"/>
      <c r="ED67" s="812"/>
      <c r="EE67" s="812"/>
      <c r="EF67" s="812"/>
      <c r="EG67" s="812"/>
      <c r="EH67" s="812"/>
      <c r="EI67" s="812"/>
      <c r="EJ67" s="812"/>
      <c r="EK67" s="812"/>
      <c r="EL67" s="812"/>
      <c r="EM67" s="812"/>
      <c r="EN67" s="812"/>
      <c r="EO67" s="812"/>
      <c r="EP67" s="812"/>
      <c r="EQ67" s="812"/>
      <c r="ER67" s="812"/>
      <c r="ES67" s="812"/>
      <c r="ET67" s="812"/>
      <c r="EU67" s="812"/>
      <c r="EV67" s="812"/>
      <c r="EW67" s="812"/>
      <c r="EX67" s="812"/>
      <c r="EY67" s="812"/>
      <c r="EZ67" s="812"/>
      <c r="FA67" s="812"/>
      <c r="FB67" s="812"/>
      <c r="FC67" s="812"/>
      <c r="FD67" s="812"/>
      <c r="FE67" s="812"/>
      <c r="FF67" s="812"/>
      <c r="FG67" s="812"/>
      <c r="FH67" s="812"/>
      <c r="FI67" s="812"/>
      <c r="FJ67" s="812"/>
      <c r="FK67" s="812"/>
      <c r="FL67" s="812"/>
      <c r="FM67" s="812"/>
      <c r="FN67" s="812"/>
      <c r="FO67" s="812"/>
      <c r="FP67" s="812"/>
      <c r="FQ67" s="812"/>
      <c r="FR67" s="812"/>
      <c r="FS67" s="812"/>
      <c r="FT67" s="812"/>
      <c r="FU67" s="812"/>
      <c r="FV67" s="812"/>
      <c r="FW67" s="812"/>
      <c r="FX67" s="812"/>
      <c r="FY67" s="812"/>
      <c r="FZ67" s="812"/>
      <c r="GA67" s="812"/>
      <c r="GB67" s="812"/>
      <c r="GC67" s="812"/>
      <c r="GD67" s="812"/>
      <c r="GE67" s="812"/>
      <c r="GF67" s="812"/>
      <c r="GG67" s="812"/>
      <c r="GH67" s="812"/>
      <c r="GI67" s="812"/>
      <c r="GJ67" s="812"/>
      <c r="GK67" s="812"/>
      <c r="GL67" s="812"/>
      <c r="GM67" s="812"/>
      <c r="GN67" s="812"/>
      <c r="GO67" s="812"/>
      <c r="GP67" s="812"/>
    </row>
    <row r="68" spans="1:198" s="818" customFormat="1" ht="28.8">
      <c r="A68" s="814" t="s">
        <v>5</v>
      </c>
      <c r="B68" s="815" t="s">
        <v>413</v>
      </c>
      <c r="C68" s="816" t="s">
        <v>5</v>
      </c>
      <c r="D68" s="816"/>
      <c r="E68" s="816"/>
      <c r="F68" s="992"/>
      <c r="G68" s="817"/>
    </row>
    <row r="69" spans="1:198" s="813" customFormat="1" ht="28.8">
      <c r="A69" s="819" t="s">
        <v>990</v>
      </c>
      <c r="B69" s="820" t="s">
        <v>414</v>
      </c>
      <c r="C69" s="809" t="s">
        <v>2</v>
      </c>
      <c r="D69" s="801">
        <f>CEILING(491*1.15,1)</f>
        <v>565</v>
      </c>
      <c r="E69" s="810"/>
      <c r="F69" s="991">
        <f>D69*E69</f>
        <v>0</v>
      </c>
      <c r="G69" s="811"/>
      <c r="H69" s="812"/>
      <c r="I69" s="812"/>
      <c r="J69" s="812"/>
      <c r="K69" s="812"/>
      <c r="L69" s="812"/>
      <c r="M69" s="812"/>
      <c r="N69" s="812"/>
      <c r="O69" s="812"/>
      <c r="P69" s="812"/>
      <c r="Q69" s="812"/>
      <c r="R69" s="812"/>
      <c r="S69" s="812"/>
      <c r="T69" s="812"/>
      <c r="U69" s="812"/>
      <c r="V69" s="812"/>
      <c r="W69" s="812"/>
      <c r="X69" s="812"/>
      <c r="Y69" s="812"/>
      <c r="Z69" s="812"/>
      <c r="AA69" s="812"/>
      <c r="AB69" s="812"/>
      <c r="AC69" s="812"/>
      <c r="AD69" s="812"/>
      <c r="AE69" s="812"/>
      <c r="AF69" s="812"/>
      <c r="AG69" s="812"/>
      <c r="AH69" s="812"/>
      <c r="AI69" s="812"/>
      <c r="AJ69" s="812"/>
      <c r="AK69" s="812"/>
      <c r="AL69" s="812"/>
      <c r="AM69" s="812"/>
      <c r="AN69" s="812"/>
      <c r="AO69" s="812"/>
      <c r="AP69" s="812"/>
      <c r="AQ69" s="812"/>
      <c r="AR69" s="812"/>
      <c r="AS69" s="812"/>
      <c r="AT69" s="812"/>
      <c r="AU69" s="812"/>
      <c r="AV69" s="812"/>
      <c r="AW69" s="812"/>
      <c r="AX69" s="812"/>
      <c r="AY69" s="812"/>
      <c r="AZ69" s="812"/>
      <c r="BA69" s="812"/>
      <c r="BB69" s="812"/>
      <c r="BC69" s="812"/>
      <c r="BD69" s="812"/>
      <c r="BE69" s="812"/>
      <c r="BF69" s="812"/>
      <c r="BG69" s="812"/>
      <c r="BH69" s="812"/>
      <c r="BI69" s="812"/>
      <c r="BJ69" s="812"/>
      <c r="BK69" s="812"/>
      <c r="BL69" s="812"/>
      <c r="BM69" s="812"/>
      <c r="BN69" s="812"/>
      <c r="BO69" s="812"/>
      <c r="BP69" s="812"/>
      <c r="BQ69" s="812"/>
      <c r="BR69" s="812"/>
      <c r="BS69" s="812"/>
      <c r="BT69" s="812"/>
      <c r="BU69" s="812"/>
      <c r="BV69" s="812"/>
      <c r="BW69" s="812"/>
      <c r="BX69" s="812"/>
      <c r="BY69" s="812"/>
      <c r="BZ69" s="812"/>
      <c r="CA69" s="812"/>
      <c r="CB69" s="812"/>
      <c r="CC69" s="812"/>
      <c r="CD69" s="812"/>
      <c r="CE69" s="812"/>
      <c r="CF69" s="812"/>
      <c r="CG69" s="812"/>
      <c r="CH69" s="812"/>
      <c r="CI69" s="812"/>
      <c r="CJ69" s="812"/>
      <c r="CK69" s="812"/>
      <c r="CL69" s="812"/>
      <c r="CM69" s="812"/>
      <c r="CN69" s="812"/>
      <c r="CO69" s="812"/>
      <c r="CP69" s="812"/>
      <c r="CQ69" s="812"/>
      <c r="CR69" s="812"/>
      <c r="CS69" s="812"/>
      <c r="CT69" s="812"/>
      <c r="CU69" s="812"/>
      <c r="CV69" s="812"/>
      <c r="CW69" s="812"/>
      <c r="CX69" s="812"/>
      <c r="CY69" s="812"/>
      <c r="CZ69" s="812"/>
      <c r="DA69" s="812"/>
      <c r="DB69" s="812"/>
      <c r="DC69" s="812"/>
      <c r="DD69" s="812"/>
      <c r="DE69" s="812"/>
      <c r="DF69" s="812"/>
      <c r="DG69" s="812"/>
      <c r="DH69" s="812"/>
      <c r="DI69" s="812"/>
      <c r="DJ69" s="812"/>
      <c r="DK69" s="812"/>
      <c r="DL69" s="812"/>
      <c r="DM69" s="812"/>
      <c r="DN69" s="812"/>
      <c r="DO69" s="812"/>
      <c r="DP69" s="812"/>
      <c r="DQ69" s="812"/>
      <c r="DR69" s="812"/>
      <c r="DS69" s="812"/>
      <c r="DT69" s="812"/>
      <c r="DU69" s="812"/>
      <c r="DV69" s="812"/>
      <c r="DW69" s="812"/>
      <c r="DX69" s="812"/>
      <c r="DY69" s="812"/>
      <c r="DZ69" s="812"/>
      <c r="EA69" s="812"/>
      <c r="EB69" s="812"/>
      <c r="EC69" s="812"/>
      <c r="ED69" s="812"/>
      <c r="EE69" s="812"/>
      <c r="EF69" s="812"/>
      <c r="EG69" s="812"/>
      <c r="EH69" s="812"/>
      <c r="EI69" s="812"/>
      <c r="EJ69" s="812"/>
      <c r="EK69" s="812"/>
      <c r="EL69" s="812"/>
      <c r="EM69" s="812"/>
      <c r="EN69" s="812"/>
      <c r="EO69" s="812"/>
      <c r="EP69" s="812"/>
      <c r="EQ69" s="812"/>
      <c r="ER69" s="812"/>
      <c r="ES69" s="812"/>
      <c r="ET69" s="812"/>
      <c r="EU69" s="812"/>
      <c r="EV69" s="812"/>
      <c r="EW69" s="812"/>
      <c r="EX69" s="812"/>
      <c r="EY69" s="812"/>
      <c r="EZ69" s="812"/>
      <c r="FA69" s="812"/>
      <c r="FB69" s="812"/>
      <c r="FC69" s="812"/>
      <c r="FD69" s="812"/>
      <c r="FE69" s="812"/>
      <c r="FF69" s="812"/>
      <c r="FG69" s="812"/>
      <c r="FH69" s="812"/>
      <c r="FI69" s="812"/>
      <c r="FJ69" s="812"/>
      <c r="FK69" s="812"/>
      <c r="FL69" s="812"/>
      <c r="FM69" s="812"/>
      <c r="FN69" s="812"/>
      <c r="FO69" s="812"/>
      <c r="FP69" s="812"/>
      <c r="FQ69" s="812"/>
      <c r="FR69" s="812"/>
      <c r="FS69" s="812"/>
      <c r="FT69" s="812"/>
      <c r="FU69" s="812"/>
      <c r="FV69" s="812"/>
      <c r="FW69" s="812"/>
      <c r="FX69" s="812"/>
      <c r="FY69" s="812"/>
      <c r="FZ69" s="812"/>
      <c r="GA69" s="812"/>
      <c r="GB69" s="812"/>
      <c r="GC69" s="812"/>
      <c r="GD69" s="812"/>
      <c r="GE69" s="812"/>
      <c r="GF69" s="812"/>
      <c r="GG69" s="812"/>
      <c r="GH69" s="812"/>
      <c r="GI69" s="812"/>
      <c r="GJ69" s="812"/>
      <c r="GK69" s="812"/>
      <c r="GL69" s="812"/>
      <c r="GM69" s="812"/>
      <c r="GN69" s="812"/>
      <c r="GO69" s="812"/>
      <c r="GP69" s="812"/>
    </row>
    <row r="70" spans="1:198" s="818" customFormat="1">
      <c r="A70" s="819" t="s">
        <v>991</v>
      </c>
      <c r="B70" s="816" t="s">
        <v>488</v>
      </c>
      <c r="C70" s="816" t="s">
        <v>3</v>
      </c>
      <c r="D70" s="816">
        <f>CEILING(15.3*45,1)</f>
        <v>689</v>
      </c>
      <c r="E70" s="816"/>
      <c r="F70" s="991">
        <f t="shared" ref="F70:F76" si="5">D70*E70</f>
        <v>0</v>
      </c>
      <c r="G70" s="817"/>
    </row>
    <row r="71" spans="1:198" s="818" customFormat="1">
      <c r="A71" s="819" t="s">
        <v>993</v>
      </c>
      <c r="B71" s="816" t="s">
        <v>487</v>
      </c>
      <c r="C71" s="816" t="s">
        <v>3</v>
      </c>
      <c r="D71" s="816">
        <f>CEILING(9.6*45,1)</f>
        <v>432</v>
      </c>
      <c r="E71" s="816"/>
      <c r="F71" s="991">
        <f t="shared" ref="F71" si="6">D71*E71</f>
        <v>0</v>
      </c>
      <c r="G71" s="817"/>
    </row>
    <row r="72" spans="1:198" s="818" customFormat="1">
      <c r="A72" s="819" t="s">
        <v>995</v>
      </c>
      <c r="B72" s="816" t="s">
        <v>138</v>
      </c>
      <c r="C72" s="816" t="s">
        <v>3</v>
      </c>
      <c r="D72" s="816">
        <f>CEILING(83.5*8,1)</f>
        <v>668</v>
      </c>
      <c r="E72" s="816"/>
      <c r="F72" s="991">
        <f t="shared" si="5"/>
        <v>0</v>
      </c>
      <c r="G72" s="817"/>
    </row>
    <row r="73" spans="1:198" s="818" customFormat="1">
      <c r="A73" s="819" t="s">
        <v>1000</v>
      </c>
      <c r="B73" s="816" t="s">
        <v>159</v>
      </c>
      <c r="C73" s="816" t="s">
        <v>3</v>
      </c>
      <c r="D73" s="816">
        <f>CEILING(83.5*2,1)</f>
        <v>167</v>
      </c>
      <c r="E73" s="816"/>
      <c r="F73" s="991">
        <f t="shared" si="5"/>
        <v>0</v>
      </c>
      <c r="G73" s="817"/>
    </row>
    <row r="74" spans="1:198" s="818" customFormat="1">
      <c r="A74" s="819" t="s">
        <v>1001</v>
      </c>
      <c r="B74" s="816" t="s">
        <v>415</v>
      </c>
      <c r="C74" s="816" t="s">
        <v>3</v>
      </c>
      <c r="D74" s="816">
        <f>CEILING(45*3*0.5,1)</f>
        <v>68</v>
      </c>
      <c r="E74" s="816"/>
      <c r="F74" s="991">
        <f t="shared" si="5"/>
        <v>0</v>
      </c>
      <c r="G74" s="817"/>
    </row>
    <row r="75" spans="1:198" s="818" customFormat="1">
      <c r="A75" s="819" t="s">
        <v>1002</v>
      </c>
      <c r="B75" s="816" t="s">
        <v>333</v>
      </c>
      <c r="C75" s="816" t="s">
        <v>3</v>
      </c>
      <c r="D75" s="816">
        <v>84</v>
      </c>
      <c r="E75" s="816"/>
      <c r="F75" s="991">
        <f t="shared" si="5"/>
        <v>0</v>
      </c>
      <c r="G75" s="817"/>
    </row>
    <row r="76" spans="1:198" s="818" customFormat="1">
      <c r="A76" s="814"/>
      <c r="B76" s="821"/>
      <c r="C76" s="816"/>
      <c r="D76" s="816"/>
      <c r="E76" s="816"/>
      <c r="F76" s="991">
        <f t="shared" si="5"/>
        <v>0</v>
      </c>
      <c r="G76" s="817"/>
    </row>
    <row r="77" spans="1:198" s="818" customFormat="1">
      <c r="A77" s="814" t="s">
        <v>5</v>
      </c>
      <c r="B77" s="821" t="s">
        <v>368</v>
      </c>
      <c r="C77" s="816" t="s">
        <v>5</v>
      </c>
      <c r="D77" s="816" t="s">
        <v>5</v>
      </c>
      <c r="E77" s="816"/>
      <c r="F77" s="993"/>
      <c r="G77" s="817"/>
    </row>
    <row r="78" spans="1:198" s="818" customFormat="1">
      <c r="A78" s="814" t="s">
        <v>1004</v>
      </c>
      <c r="B78" s="816" t="s">
        <v>369</v>
      </c>
      <c r="C78" s="816" t="s">
        <v>5</v>
      </c>
      <c r="D78" s="816" t="s">
        <v>5</v>
      </c>
      <c r="E78" s="816"/>
      <c r="F78" s="993"/>
      <c r="G78" s="817"/>
    </row>
    <row r="79" spans="1:198" s="818" customFormat="1">
      <c r="A79" s="814" t="s">
        <v>1005</v>
      </c>
      <c r="B79" s="816" t="s">
        <v>416</v>
      </c>
      <c r="C79" s="816" t="s">
        <v>2</v>
      </c>
      <c r="D79" s="816">
        <v>73</v>
      </c>
      <c r="E79" s="816"/>
      <c r="F79" s="993">
        <f t="shared" ref="F79:F113" si="7">E79*D79</f>
        <v>0</v>
      </c>
      <c r="G79" s="817"/>
    </row>
    <row r="80" spans="1:198" s="818" customFormat="1">
      <c r="A80" s="814" t="s">
        <v>1006</v>
      </c>
      <c r="B80" s="816" t="s">
        <v>370</v>
      </c>
      <c r="C80" s="816" t="s">
        <v>3</v>
      </c>
      <c r="D80" s="816">
        <v>147</v>
      </c>
      <c r="E80" s="816"/>
      <c r="F80" s="993">
        <f t="shared" si="7"/>
        <v>0</v>
      </c>
      <c r="G80" s="817"/>
    </row>
    <row r="81" spans="1:198" s="818" customFormat="1">
      <c r="A81" s="822" t="s">
        <v>5</v>
      </c>
      <c r="B81" s="815" t="s">
        <v>116</v>
      </c>
      <c r="C81" s="816" t="s">
        <v>5</v>
      </c>
      <c r="D81" s="816" t="s">
        <v>5</v>
      </c>
      <c r="E81" s="816"/>
      <c r="F81" s="993"/>
      <c r="G81" s="817"/>
    </row>
    <row r="82" spans="1:198" s="818" customFormat="1" ht="28.8">
      <c r="A82" s="822" t="s">
        <v>1007</v>
      </c>
      <c r="B82" s="816" t="s">
        <v>417</v>
      </c>
      <c r="C82" s="816" t="s">
        <v>2</v>
      </c>
      <c r="D82" s="816">
        <f>D79</f>
        <v>73</v>
      </c>
      <c r="E82" s="816"/>
      <c r="F82" s="993">
        <f t="shared" si="7"/>
        <v>0</v>
      </c>
      <c r="G82" s="817"/>
    </row>
    <row r="83" spans="1:198" s="818" customFormat="1" ht="28.8">
      <c r="A83" s="822" t="s">
        <v>1040</v>
      </c>
      <c r="B83" s="816" t="s">
        <v>371</v>
      </c>
      <c r="C83" s="816" t="s">
        <v>3</v>
      </c>
      <c r="D83" s="816">
        <v>147</v>
      </c>
      <c r="E83" s="816"/>
      <c r="F83" s="993">
        <f t="shared" si="7"/>
        <v>0</v>
      </c>
      <c r="G83" s="817"/>
    </row>
    <row r="84" spans="1:198" s="818" customFormat="1">
      <c r="A84" s="822" t="s">
        <v>5</v>
      </c>
      <c r="B84" s="821" t="s">
        <v>334</v>
      </c>
      <c r="C84" s="816" t="s">
        <v>5</v>
      </c>
      <c r="D84" s="816" t="s">
        <v>5</v>
      </c>
      <c r="E84" s="816"/>
      <c r="F84" s="993"/>
      <c r="G84" s="817"/>
    </row>
    <row r="85" spans="1:198" s="818" customFormat="1" ht="28.8">
      <c r="A85" s="822" t="s">
        <v>1041</v>
      </c>
      <c r="B85" s="816" t="s">
        <v>418</v>
      </c>
      <c r="C85" s="816" t="s">
        <v>3</v>
      </c>
      <c r="D85" s="816">
        <f>D83</f>
        <v>147</v>
      </c>
      <c r="E85" s="816"/>
      <c r="F85" s="993">
        <f t="shared" si="7"/>
        <v>0</v>
      </c>
      <c r="G85" s="817"/>
    </row>
    <row r="86" spans="1:198" s="818" customFormat="1">
      <c r="A86" s="814" t="s">
        <v>5</v>
      </c>
      <c r="B86" s="821" t="s">
        <v>304</v>
      </c>
      <c r="C86" s="816" t="s">
        <v>5</v>
      </c>
      <c r="D86" s="816" t="s">
        <v>5</v>
      </c>
      <c r="E86" s="816"/>
      <c r="F86" s="993"/>
      <c r="G86" s="817"/>
    </row>
    <row r="87" spans="1:198" s="818" customFormat="1" ht="28.8">
      <c r="A87" s="814" t="s">
        <v>1042</v>
      </c>
      <c r="B87" s="816" t="s">
        <v>160</v>
      </c>
      <c r="C87" s="816" t="s">
        <v>3</v>
      </c>
      <c r="D87" s="816">
        <f>22*3</f>
        <v>66</v>
      </c>
      <c r="E87" s="816"/>
      <c r="F87" s="993">
        <f t="shared" si="7"/>
        <v>0</v>
      </c>
      <c r="G87" s="817"/>
    </row>
    <row r="88" spans="1:198" s="818" customFormat="1">
      <c r="A88" s="814" t="s">
        <v>1043</v>
      </c>
      <c r="B88" s="816" t="s">
        <v>335</v>
      </c>
      <c r="C88" s="816" t="s">
        <v>118</v>
      </c>
      <c r="D88" s="816">
        <v>22</v>
      </c>
      <c r="E88" s="816"/>
      <c r="F88" s="993">
        <f t="shared" si="7"/>
        <v>0</v>
      </c>
      <c r="G88" s="817"/>
    </row>
    <row r="89" spans="1:198" s="818" customFormat="1">
      <c r="A89" s="814" t="s">
        <v>1044</v>
      </c>
      <c r="B89" s="816" t="s">
        <v>336</v>
      </c>
      <c r="C89" s="816" t="s">
        <v>118</v>
      </c>
      <c r="D89" s="816">
        <f>D88</f>
        <v>22</v>
      </c>
      <c r="E89" s="816"/>
      <c r="F89" s="993">
        <f t="shared" si="7"/>
        <v>0</v>
      </c>
      <c r="G89" s="817"/>
    </row>
    <row r="90" spans="1:198" s="818" customFormat="1" ht="28.8">
      <c r="A90" s="814" t="s">
        <v>1045</v>
      </c>
      <c r="B90" s="816" t="s">
        <v>337</v>
      </c>
      <c r="C90" s="816" t="s">
        <v>5</v>
      </c>
      <c r="D90" s="816" t="s">
        <v>5</v>
      </c>
      <c r="E90" s="816"/>
      <c r="F90" s="993"/>
      <c r="G90" s="817"/>
    </row>
    <row r="91" spans="1:198" s="818" customFormat="1">
      <c r="A91" s="814" t="s">
        <v>1046</v>
      </c>
      <c r="B91" s="816" t="s">
        <v>338</v>
      </c>
      <c r="C91" s="816" t="s">
        <v>3</v>
      </c>
      <c r="D91" s="816">
        <f>D85</f>
        <v>147</v>
      </c>
      <c r="E91" s="816"/>
      <c r="F91" s="993">
        <f t="shared" si="7"/>
        <v>0</v>
      </c>
      <c r="G91" s="817"/>
    </row>
    <row r="92" spans="1:198" s="818" customFormat="1">
      <c r="A92" s="814" t="s">
        <v>1047</v>
      </c>
      <c r="B92" s="816" t="s">
        <v>419</v>
      </c>
      <c r="C92" s="816" t="s">
        <v>3</v>
      </c>
      <c r="D92" s="816">
        <f>D91</f>
        <v>147</v>
      </c>
      <c r="E92" s="816"/>
      <c r="F92" s="993">
        <f t="shared" si="7"/>
        <v>0</v>
      </c>
      <c r="G92" s="817"/>
    </row>
    <row r="93" spans="1:198" s="818" customFormat="1">
      <c r="A93" s="823"/>
      <c r="B93" s="821"/>
      <c r="C93" s="821"/>
      <c r="D93" s="821"/>
      <c r="E93" s="821"/>
      <c r="F93" s="993">
        <f t="shared" si="7"/>
        <v>0</v>
      </c>
      <c r="G93" s="817"/>
    </row>
    <row r="94" spans="1:198" s="838" customFormat="1">
      <c r="A94" s="858"/>
      <c r="B94" s="859" t="s">
        <v>1003</v>
      </c>
      <c r="C94" s="859"/>
      <c r="D94" s="859"/>
      <c r="E94" s="859"/>
      <c r="F94" s="994">
        <f>SUM(F69:F93)</f>
        <v>0</v>
      </c>
      <c r="G94" s="837"/>
    </row>
    <row r="95" spans="1:198">
      <c r="A95" s="59" t="s">
        <v>82</v>
      </c>
      <c r="B95" s="38" t="s">
        <v>7</v>
      </c>
      <c r="C95" s="37" t="s">
        <v>141</v>
      </c>
      <c r="D95" s="56" t="s">
        <v>142</v>
      </c>
      <c r="E95" s="57" t="s">
        <v>143</v>
      </c>
      <c r="F95" s="977" t="s">
        <v>289</v>
      </c>
    </row>
    <row r="96" spans="1:198" s="813" customFormat="1">
      <c r="A96" s="860">
        <v>2.5</v>
      </c>
      <c r="B96" s="803" t="s">
        <v>1073</v>
      </c>
      <c r="C96" s="824"/>
      <c r="D96" s="824"/>
      <c r="E96" s="805"/>
      <c r="F96" s="993">
        <f t="shared" si="7"/>
        <v>0</v>
      </c>
      <c r="G96" s="811"/>
      <c r="H96" s="812"/>
      <c r="I96" s="812"/>
      <c r="J96" s="812"/>
      <c r="K96" s="812"/>
      <c r="L96" s="812"/>
      <c r="M96" s="812"/>
      <c r="N96" s="812"/>
      <c r="O96" s="812"/>
      <c r="P96" s="812"/>
      <c r="Q96" s="812"/>
      <c r="R96" s="812"/>
      <c r="S96" s="812"/>
      <c r="T96" s="812"/>
      <c r="U96" s="812"/>
      <c r="V96" s="812"/>
      <c r="W96" s="812"/>
      <c r="X96" s="812"/>
      <c r="Y96" s="812"/>
      <c r="Z96" s="812"/>
      <c r="AA96" s="812"/>
      <c r="AB96" s="812"/>
      <c r="AC96" s="812"/>
      <c r="AD96" s="812"/>
      <c r="AE96" s="812"/>
      <c r="AF96" s="812"/>
      <c r="AG96" s="812"/>
      <c r="AH96" s="812"/>
      <c r="AI96" s="812"/>
      <c r="AJ96" s="812"/>
      <c r="AK96" s="812"/>
      <c r="AL96" s="812"/>
      <c r="AM96" s="812"/>
      <c r="AN96" s="812"/>
      <c r="AO96" s="812"/>
      <c r="AP96" s="812"/>
      <c r="AQ96" s="812"/>
      <c r="AR96" s="812"/>
      <c r="AS96" s="812"/>
      <c r="AT96" s="812"/>
      <c r="AU96" s="812"/>
      <c r="AV96" s="812"/>
      <c r="AW96" s="812"/>
      <c r="AX96" s="812"/>
      <c r="AY96" s="812"/>
      <c r="AZ96" s="812"/>
      <c r="BA96" s="812"/>
      <c r="BB96" s="812"/>
      <c r="BC96" s="812"/>
      <c r="BD96" s="812"/>
      <c r="BE96" s="812"/>
      <c r="BF96" s="812"/>
      <c r="BG96" s="812"/>
      <c r="BH96" s="812"/>
      <c r="BI96" s="812"/>
      <c r="BJ96" s="812"/>
      <c r="BK96" s="812"/>
      <c r="BL96" s="812"/>
      <c r="BM96" s="812"/>
      <c r="BN96" s="812"/>
      <c r="BO96" s="812"/>
      <c r="BP96" s="812"/>
      <c r="BQ96" s="812"/>
      <c r="BR96" s="812"/>
      <c r="BS96" s="812"/>
      <c r="BT96" s="812"/>
      <c r="BU96" s="812"/>
      <c r="BV96" s="812"/>
      <c r="BW96" s="812"/>
      <c r="BX96" s="812"/>
      <c r="BY96" s="812"/>
      <c r="BZ96" s="812"/>
      <c r="CA96" s="812"/>
      <c r="CB96" s="812"/>
      <c r="CC96" s="812"/>
      <c r="CD96" s="812"/>
      <c r="CE96" s="812"/>
      <c r="CF96" s="812"/>
      <c r="CG96" s="812"/>
      <c r="CH96" s="812"/>
      <c r="CI96" s="812"/>
      <c r="CJ96" s="812"/>
      <c r="CK96" s="812"/>
      <c r="CL96" s="812"/>
      <c r="CM96" s="812"/>
      <c r="CN96" s="812"/>
      <c r="CO96" s="812"/>
      <c r="CP96" s="812"/>
      <c r="CQ96" s="812"/>
      <c r="CR96" s="812"/>
      <c r="CS96" s="812"/>
      <c r="CT96" s="812"/>
      <c r="CU96" s="812"/>
      <c r="CV96" s="812"/>
      <c r="CW96" s="812"/>
      <c r="CX96" s="812"/>
      <c r="CY96" s="812"/>
      <c r="CZ96" s="812"/>
      <c r="DA96" s="812"/>
      <c r="DB96" s="812"/>
      <c r="DC96" s="812"/>
      <c r="DD96" s="812"/>
      <c r="DE96" s="812"/>
      <c r="DF96" s="812"/>
      <c r="DG96" s="812"/>
      <c r="DH96" s="812"/>
      <c r="DI96" s="812"/>
      <c r="DJ96" s="812"/>
      <c r="DK96" s="812"/>
      <c r="DL96" s="812"/>
      <c r="DM96" s="812"/>
      <c r="DN96" s="812"/>
      <c r="DO96" s="812"/>
      <c r="DP96" s="812"/>
      <c r="DQ96" s="812"/>
      <c r="DR96" s="812"/>
      <c r="DS96" s="812"/>
      <c r="DT96" s="812"/>
      <c r="DU96" s="812"/>
      <c r="DV96" s="812"/>
      <c r="DW96" s="812"/>
      <c r="DX96" s="812"/>
      <c r="DY96" s="812"/>
      <c r="DZ96" s="812"/>
      <c r="EA96" s="812"/>
      <c r="EB96" s="812"/>
      <c r="EC96" s="812"/>
      <c r="ED96" s="812"/>
      <c r="EE96" s="812"/>
      <c r="EF96" s="812"/>
      <c r="EG96" s="812"/>
      <c r="EH96" s="812"/>
      <c r="EI96" s="812"/>
      <c r="EJ96" s="812"/>
      <c r="EK96" s="812"/>
      <c r="EL96" s="812"/>
      <c r="EM96" s="812"/>
      <c r="EN96" s="812"/>
      <c r="EO96" s="812"/>
      <c r="EP96" s="812"/>
      <c r="EQ96" s="812"/>
      <c r="ER96" s="812"/>
      <c r="ES96" s="812"/>
      <c r="ET96" s="812"/>
      <c r="EU96" s="812"/>
      <c r="EV96" s="812"/>
      <c r="EW96" s="812"/>
      <c r="EX96" s="812"/>
      <c r="EY96" s="812"/>
      <c r="EZ96" s="812"/>
      <c r="FA96" s="812"/>
      <c r="FB96" s="812"/>
      <c r="FC96" s="812"/>
      <c r="FD96" s="812"/>
      <c r="FE96" s="812"/>
      <c r="FF96" s="812"/>
      <c r="FG96" s="812"/>
      <c r="FH96" s="812"/>
      <c r="FI96" s="812"/>
      <c r="FJ96" s="812"/>
      <c r="FK96" s="812"/>
      <c r="FL96" s="812"/>
      <c r="FM96" s="812"/>
      <c r="FN96" s="812"/>
      <c r="FO96" s="812"/>
      <c r="FP96" s="812"/>
      <c r="FQ96" s="812"/>
      <c r="FR96" s="812"/>
      <c r="FS96" s="812"/>
      <c r="FT96" s="812"/>
      <c r="FU96" s="812"/>
      <c r="FV96" s="812"/>
      <c r="FW96" s="812"/>
      <c r="FX96" s="812"/>
      <c r="FY96" s="812"/>
      <c r="FZ96" s="812"/>
      <c r="GA96" s="812"/>
      <c r="GB96" s="812"/>
      <c r="GC96" s="812"/>
      <c r="GD96" s="812"/>
      <c r="GE96" s="812"/>
      <c r="GF96" s="812"/>
      <c r="GG96" s="812"/>
      <c r="GH96" s="812"/>
      <c r="GI96" s="812"/>
      <c r="GJ96" s="812"/>
      <c r="GK96" s="812"/>
      <c r="GL96" s="812"/>
      <c r="GM96" s="812"/>
      <c r="GN96" s="812"/>
      <c r="GO96" s="812"/>
      <c r="GP96" s="812"/>
    </row>
    <row r="97" spans="1:198" s="813" customFormat="1" ht="28.8">
      <c r="A97" s="825" t="s">
        <v>1008</v>
      </c>
      <c r="B97" s="816" t="s">
        <v>522</v>
      </c>
      <c r="C97" s="826" t="s">
        <v>118</v>
      </c>
      <c r="D97" s="826">
        <v>11</v>
      </c>
      <c r="E97" s="826"/>
      <c r="F97" s="993">
        <f t="shared" ref="F97" si="8">E97*D97</f>
        <v>0</v>
      </c>
      <c r="G97" s="811"/>
      <c r="H97" s="812"/>
      <c r="I97" s="812"/>
      <c r="J97" s="812"/>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2"/>
      <c r="AL97" s="812"/>
      <c r="AM97" s="812"/>
      <c r="AN97" s="812"/>
      <c r="AO97" s="812"/>
      <c r="AP97" s="812"/>
      <c r="AQ97" s="812"/>
      <c r="AR97" s="812"/>
      <c r="AS97" s="812"/>
      <c r="AT97" s="812"/>
      <c r="AU97" s="812"/>
      <c r="AV97" s="812"/>
      <c r="AW97" s="812"/>
      <c r="AX97" s="812"/>
      <c r="AY97" s="812"/>
      <c r="AZ97" s="812"/>
      <c r="BA97" s="812"/>
      <c r="BB97" s="812"/>
      <c r="BC97" s="812"/>
      <c r="BD97" s="812"/>
      <c r="BE97" s="812"/>
      <c r="BF97" s="812"/>
      <c r="BG97" s="812"/>
      <c r="BH97" s="812"/>
      <c r="BI97" s="812"/>
      <c r="BJ97" s="812"/>
      <c r="BK97" s="812"/>
      <c r="BL97" s="812"/>
      <c r="BM97" s="812"/>
      <c r="BN97" s="812"/>
      <c r="BO97" s="812"/>
      <c r="BP97" s="812"/>
      <c r="BQ97" s="812"/>
      <c r="BR97" s="812"/>
      <c r="BS97" s="812"/>
      <c r="BT97" s="812"/>
      <c r="BU97" s="812"/>
      <c r="BV97" s="812"/>
      <c r="BW97" s="812"/>
      <c r="BX97" s="812"/>
      <c r="BY97" s="812"/>
      <c r="BZ97" s="812"/>
      <c r="CA97" s="812"/>
      <c r="CB97" s="812"/>
      <c r="CC97" s="812"/>
      <c r="CD97" s="812"/>
      <c r="CE97" s="812"/>
      <c r="CF97" s="812"/>
      <c r="CG97" s="812"/>
      <c r="CH97" s="812"/>
      <c r="CI97" s="812"/>
      <c r="CJ97" s="812"/>
      <c r="CK97" s="812"/>
      <c r="CL97" s="812"/>
      <c r="CM97" s="812"/>
      <c r="CN97" s="812"/>
      <c r="CO97" s="812"/>
      <c r="CP97" s="812"/>
      <c r="CQ97" s="812"/>
      <c r="CR97" s="812"/>
      <c r="CS97" s="812"/>
      <c r="CT97" s="812"/>
      <c r="CU97" s="812"/>
      <c r="CV97" s="812"/>
      <c r="CW97" s="812"/>
      <c r="CX97" s="812"/>
      <c r="CY97" s="812"/>
      <c r="CZ97" s="812"/>
      <c r="DA97" s="812"/>
      <c r="DB97" s="812"/>
      <c r="DC97" s="812"/>
      <c r="DD97" s="812"/>
      <c r="DE97" s="812"/>
      <c r="DF97" s="812"/>
      <c r="DG97" s="812"/>
      <c r="DH97" s="812"/>
      <c r="DI97" s="812"/>
      <c r="DJ97" s="812"/>
      <c r="DK97" s="812"/>
      <c r="DL97" s="812"/>
      <c r="DM97" s="812"/>
      <c r="DN97" s="812"/>
      <c r="DO97" s="812"/>
      <c r="DP97" s="812"/>
      <c r="DQ97" s="812"/>
      <c r="DR97" s="812"/>
      <c r="DS97" s="812"/>
      <c r="DT97" s="812"/>
      <c r="DU97" s="812"/>
      <c r="DV97" s="812"/>
      <c r="DW97" s="812"/>
      <c r="DX97" s="812"/>
      <c r="DY97" s="812"/>
      <c r="DZ97" s="812"/>
      <c r="EA97" s="812"/>
      <c r="EB97" s="812"/>
      <c r="EC97" s="812"/>
      <c r="ED97" s="812"/>
      <c r="EE97" s="812"/>
      <c r="EF97" s="812"/>
      <c r="EG97" s="812"/>
      <c r="EH97" s="812"/>
      <c r="EI97" s="812"/>
      <c r="EJ97" s="812"/>
      <c r="EK97" s="812"/>
      <c r="EL97" s="812"/>
      <c r="EM97" s="812"/>
      <c r="EN97" s="812"/>
      <c r="EO97" s="812"/>
      <c r="EP97" s="812"/>
      <c r="EQ97" s="812"/>
      <c r="ER97" s="812"/>
      <c r="ES97" s="812"/>
      <c r="ET97" s="812"/>
      <c r="EU97" s="812"/>
      <c r="EV97" s="812"/>
      <c r="EW97" s="812"/>
      <c r="EX97" s="812"/>
      <c r="EY97" s="812"/>
      <c r="EZ97" s="812"/>
      <c r="FA97" s="812"/>
      <c r="FB97" s="812"/>
      <c r="FC97" s="812"/>
      <c r="FD97" s="812"/>
      <c r="FE97" s="812"/>
      <c r="FF97" s="812"/>
      <c r="FG97" s="812"/>
      <c r="FH97" s="812"/>
      <c r="FI97" s="812"/>
      <c r="FJ97" s="812"/>
      <c r="FK97" s="812"/>
      <c r="FL97" s="812"/>
      <c r="FM97" s="812"/>
      <c r="FN97" s="812"/>
      <c r="FO97" s="812"/>
      <c r="FP97" s="812"/>
      <c r="FQ97" s="812"/>
      <c r="FR97" s="812"/>
      <c r="FS97" s="812"/>
      <c r="FT97" s="812"/>
      <c r="FU97" s="812"/>
      <c r="FV97" s="812"/>
      <c r="FW97" s="812"/>
      <c r="FX97" s="812"/>
      <c r="FY97" s="812"/>
      <c r="FZ97" s="812"/>
      <c r="GA97" s="812"/>
      <c r="GB97" s="812"/>
      <c r="GC97" s="812"/>
      <c r="GD97" s="812"/>
      <c r="GE97" s="812"/>
      <c r="GF97" s="812"/>
      <c r="GG97" s="812"/>
      <c r="GH97" s="812"/>
      <c r="GI97" s="812"/>
      <c r="GJ97" s="812"/>
      <c r="GK97" s="812"/>
      <c r="GL97" s="812"/>
      <c r="GM97" s="812"/>
      <c r="GN97" s="812"/>
      <c r="GO97" s="812"/>
      <c r="GP97" s="812"/>
    </row>
    <row r="98" spans="1:198" s="818" customFormat="1" ht="28.8">
      <c r="A98" s="825" t="s">
        <v>1048</v>
      </c>
      <c r="B98" s="816" t="s">
        <v>523</v>
      </c>
      <c r="C98" s="826" t="s">
        <v>118</v>
      </c>
      <c r="D98" s="826">
        <v>1</v>
      </c>
      <c r="E98" s="826"/>
      <c r="F98" s="993">
        <f t="shared" si="7"/>
        <v>0</v>
      </c>
      <c r="G98" s="817"/>
    </row>
    <row r="99" spans="1:198" s="818" customFormat="1" ht="28.8">
      <c r="A99" s="825" t="s">
        <v>1049</v>
      </c>
      <c r="B99" s="816" t="s">
        <v>420</v>
      </c>
      <c r="C99" s="826" t="s">
        <v>3</v>
      </c>
      <c r="D99" s="826">
        <f>CEILING(5.1*D97+6*D98,1)</f>
        <v>63</v>
      </c>
      <c r="E99" s="826"/>
      <c r="F99" s="993">
        <f t="shared" si="7"/>
        <v>0</v>
      </c>
      <c r="G99" s="817"/>
    </row>
    <row r="100" spans="1:198" s="818" customFormat="1">
      <c r="A100" s="825" t="s">
        <v>1050</v>
      </c>
      <c r="B100" s="816" t="s">
        <v>421</v>
      </c>
      <c r="C100" s="826" t="s">
        <v>3</v>
      </c>
      <c r="D100" s="826">
        <f>D99*2</f>
        <v>126</v>
      </c>
      <c r="E100" s="826"/>
      <c r="F100" s="993">
        <f t="shared" si="7"/>
        <v>0</v>
      </c>
      <c r="G100" s="817"/>
    </row>
    <row r="101" spans="1:198" s="818" customFormat="1">
      <c r="A101" s="825" t="s">
        <v>1051</v>
      </c>
      <c r="B101" s="816" t="s">
        <v>422</v>
      </c>
      <c r="C101" s="826" t="s">
        <v>3</v>
      </c>
      <c r="D101" s="826">
        <f>D100</f>
        <v>126</v>
      </c>
      <c r="E101" s="826"/>
      <c r="F101" s="993">
        <f t="shared" si="7"/>
        <v>0</v>
      </c>
      <c r="G101" s="817"/>
    </row>
    <row r="102" spans="1:198" s="818" customFormat="1">
      <c r="A102" s="825" t="s">
        <v>5</v>
      </c>
      <c r="B102" s="821" t="s">
        <v>423</v>
      </c>
      <c r="C102" s="826" t="s">
        <v>5</v>
      </c>
      <c r="D102" s="826" t="s">
        <v>5</v>
      </c>
      <c r="E102" s="826"/>
      <c r="F102" s="993"/>
      <c r="G102" s="817"/>
    </row>
    <row r="103" spans="1:198" s="818" customFormat="1" ht="28.8">
      <c r="A103" s="825" t="s">
        <v>1052</v>
      </c>
      <c r="B103" s="816" t="s">
        <v>424</v>
      </c>
      <c r="C103" s="826" t="s">
        <v>5</v>
      </c>
      <c r="D103" s="826" t="s">
        <v>5</v>
      </c>
      <c r="E103" s="826"/>
      <c r="F103" s="993"/>
      <c r="G103" s="817"/>
    </row>
    <row r="104" spans="1:198" s="818" customFormat="1">
      <c r="A104" s="825" t="s">
        <v>1053</v>
      </c>
      <c r="B104" s="816" t="s">
        <v>425</v>
      </c>
      <c r="C104" s="826" t="s">
        <v>118</v>
      </c>
      <c r="D104" s="826">
        <f>SUM(D97:D98)</f>
        <v>12</v>
      </c>
      <c r="E104" s="826"/>
      <c r="F104" s="993">
        <f t="shared" si="7"/>
        <v>0</v>
      </c>
      <c r="G104" s="817"/>
    </row>
    <row r="105" spans="1:198" s="829" customFormat="1">
      <c r="A105" s="825" t="s">
        <v>1054</v>
      </c>
      <c r="B105" s="827" t="s">
        <v>426</v>
      </c>
      <c r="C105" s="828" t="s">
        <v>427</v>
      </c>
      <c r="D105" s="828">
        <v>18.5</v>
      </c>
      <c r="E105" s="828"/>
      <c r="F105" s="995">
        <f t="shared" si="7"/>
        <v>0</v>
      </c>
      <c r="G105" s="69"/>
    </row>
    <row r="106" spans="1:198" s="818" customFormat="1">
      <c r="A106" s="825" t="s">
        <v>1055</v>
      </c>
      <c r="B106" s="816" t="s">
        <v>428</v>
      </c>
      <c r="C106" s="826" t="s">
        <v>118</v>
      </c>
      <c r="D106" s="826">
        <f>D104</f>
        <v>12</v>
      </c>
      <c r="E106" s="826"/>
      <c r="F106" s="993">
        <f t="shared" si="7"/>
        <v>0</v>
      </c>
      <c r="G106" s="817"/>
    </row>
    <row r="107" spans="1:198" s="818" customFormat="1">
      <c r="A107" s="825" t="s">
        <v>5</v>
      </c>
      <c r="B107" s="821" t="s">
        <v>429</v>
      </c>
      <c r="C107" s="826" t="s">
        <v>5</v>
      </c>
      <c r="D107" s="826" t="s">
        <v>5</v>
      </c>
      <c r="E107" s="826"/>
      <c r="F107" s="993"/>
      <c r="G107" s="817"/>
    </row>
    <row r="108" spans="1:198" s="818" customFormat="1" ht="28.8">
      <c r="A108" s="825" t="s">
        <v>1056</v>
      </c>
      <c r="B108" s="816" t="s">
        <v>430</v>
      </c>
      <c r="C108" s="826" t="s">
        <v>140</v>
      </c>
      <c r="D108" s="826" t="s">
        <v>281</v>
      </c>
      <c r="E108" s="826"/>
      <c r="F108" s="993">
        <f>E108</f>
        <v>0</v>
      </c>
      <c r="G108" s="817"/>
    </row>
    <row r="109" spans="1:198" s="838" customFormat="1">
      <c r="A109" s="874"/>
      <c r="B109" s="875" t="s">
        <v>1028</v>
      </c>
      <c r="C109" s="876"/>
      <c r="D109" s="876"/>
      <c r="E109" s="876"/>
      <c r="F109" s="994">
        <f>SUM(F97:F108)</f>
        <v>0</v>
      </c>
      <c r="G109" s="837"/>
    </row>
    <row r="110" spans="1:198" s="818" customFormat="1">
      <c r="A110" s="861"/>
      <c r="B110" s="862"/>
      <c r="C110" s="863"/>
      <c r="D110" s="863"/>
      <c r="E110" s="863"/>
      <c r="F110" s="996"/>
      <c r="G110" s="817"/>
    </row>
    <row r="111" spans="1:198" s="818" customFormat="1">
      <c r="A111" s="861"/>
      <c r="B111" s="862"/>
      <c r="C111" s="863"/>
      <c r="D111" s="863"/>
      <c r="E111" s="863"/>
      <c r="F111" s="996"/>
      <c r="G111" s="817"/>
    </row>
    <row r="112" spans="1:198" s="808" customFormat="1">
      <c r="A112" s="802">
        <v>2.6</v>
      </c>
      <c r="B112" s="803" t="s">
        <v>1074</v>
      </c>
      <c r="C112" s="804"/>
      <c r="D112" s="824"/>
      <c r="E112" s="805"/>
      <c r="F112" s="993"/>
      <c r="G112" s="806"/>
      <c r="H112" s="807"/>
      <c r="I112" s="807"/>
      <c r="J112" s="807"/>
      <c r="K112" s="807"/>
      <c r="L112" s="807"/>
      <c r="M112" s="807"/>
      <c r="N112" s="807"/>
      <c r="O112" s="807"/>
      <c r="P112" s="807"/>
      <c r="Q112" s="807"/>
      <c r="R112" s="807"/>
      <c r="S112" s="807"/>
      <c r="T112" s="807"/>
      <c r="U112" s="807"/>
      <c r="V112" s="807"/>
      <c r="W112" s="807"/>
      <c r="X112" s="807"/>
      <c r="Y112" s="807"/>
      <c r="Z112" s="807"/>
      <c r="AA112" s="807"/>
      <c r="AB112" s="807"/>
      <c r="AC112" s="807"/>
      <c r="AD112" s="807"/>
      <c r="AE112" s="807"/>
      <c r="AF112" s="807"/>
      <c r="AG112" s="807"/>
      <c r="AH112" s="807"/>
      <c r="AI112" s="807"/>
      <c r="AJ112" s="807"/>
      <c r="AK112" s="807"/>
      <c r="AL112" s="807"/>
      <c r="AM112" s="807"/>
      <c r="AN112" s="807"/>
      <c r="AO112" s="807"/>
      <c r="AP112" s="807"/>
      <c r="AQ112" s="807"/>
      <c r="AR112" s="807"/>
      <c r="AS112" s="807"/>
      <c r="AT112" s="807"/>
      <c r="AU112" s="807"/>
      <c r="AV112" s="807"/>
      <c r="AW112" s="807"/>
      <c r="AX112" s="807"/>
      <c r="AY112" s="807"/>
      <c r="AZ112" s="807"/>
      <c r="BA112" s="807"/>
      <c r="BB112" s="807"/>
      <c r="BC112" s="807"/>
      <c r="BD112" s="807"/>
      <c r="BE112" s="807"/>
      <c r="BF112" s="807"/>
      <c r="BG112" s="807"/>
      <c r="BH112" s="807"/>
      <c r="BI112" s="807"/>
      <c r="BJ112" s="807"/>
      <c r="BK112" s="807"/>
      <c r="BL112" s="807"/>
      <c r="BM112" s="807"/>
      <c r="BN112" s="807"/>
      <c r="BO112" s="807"/>
      <c r="BP112" s="807"/>
      <c r="BQ112" s="807"/>
      <c r="BR112" s="807"/>
      <c r="BS112" s="807"/>
      <c r="BT112" s="807"/>
      <c r="BU112" s="807"/>
      <c r="BV112" s="807"/>
      <c r="BW112" s="807"/>
      <c r="BX112" s="807"/>
      <c r="BY112" s="807"/>
      <c r="BZ112" s="807"/>
      <c r="CA112" s="807"/>
      <c r="CB112" s="807"/>
      <c r="CC112" s="807"/>
      <c r="CD112" s="807"/>
      <c r="CE112" s="807"/>
      <c r="CF112" s="807"/>
      <c r="CG112" s="807"/>
      <c r="CH112" s="807"/>
      <c r="CI112" s="807"/>
      <c r="CJ112" s="807"/>
      <c r="CK112" s="807"/>
      <c r="CL112" s="807"/>
      <c r="CM112" s="807"/>
      <c r="CN112" s="807"/>
      <c r="CO112" s="807"/>
      <c r="CP112" s="807"/>
      <c r="CQ112" s="807"/>
      <c r="CR112" s="807"/>
      <c r="CS112" s="807"/>
      <c r="CT112" s="807"/>
      <c r="CU112" s="807"/>
      <c r="CV112" s="807"/>
      <c r="CW112" s="807"/>
      <c r="CX112" s="807"/>
      <c r="CY112" s="807"/>
      <c r="CZ112" s="807"/>
      <c r="DA112" s="807"/>
      <c r="DB112" s="807"/>
      <c r="DC112" s="807"/>
      <c r="DD112" s="807"/>
      <c r="DE112" s="807"/>
      <c r="DF112" s="807"/>
      <c r="DG112" s="807"/>
      <c r="DH112" s="807"/>
      <c r="DI112" s="807"/>
      <c r="DJ112" s="807"/>
      <c r="DK112" s="807"/>
      <c r="DL112" s="807"/>
      <c r="DM112" s="807"/>
      <c r="DN112" s="807"/>
      <c r="DO112" s="807"/>
      <c r="DP112" s="807"/>
      <c r="DQ112" s="807"/>
      <c r="DR112" s="807"/>
      <c r="DS112" s="807"/>
      <c r="DT112" s="807"/>
      <c r="DU112" s="807"/>
      <c r="DV112" s="807"/>
      <c r="DW112" s="807"/>
      <c r="DX112" s="807"/>
      <c r="DY112" s="807"/>
      <c r="DZ112" s="807"/>
      <c r="EA112" s="807"/>
      <c r="EB112" s="807"/>
      <c r="EC112" s="807"/>
      <c r="ED112" s="807"/>
      <c r="EE112" s="807"/>
      <c r="EF112" s="807"/>
      <c r="EG112" s="807"/>
      <c r="EH112" s="807"/>
      <c r="EI112" s="807"/>
      <c r="EJ112" s="807"/>
      <c r="EK112" s="807"/>
      <c r="EL112" s="807"/>
      <c r="EM112" s="807"/>
      <c r="EN112" s="807"/>
      <c r="EO112" s="807"/>
      <c r="EP112" s="807"/>
      <c r="EQ112" s="807"/>
      <c r="ER112" s="807"/>
      <c r="ES112" s="807"/>
      <c r="ET112" s="807"/>
      <c r="EU112" s="807"/>
      <c r="EV112" s="807"/>
      <c r="EW112" s="807"/>
      <c r="EX112" s="807"/>
      <c r="EY112" s="807"/>
      <c r="EZ112" s="807"/>
      <c r="FA112" s="807"/>
      <c r="FB112" s="807"/>
      <c r="FC112" s="807"/>
      <c r="FD112" s="807"/>
      <c r="FE112" s="807"/>
      <c r="FF112" s="807"/>
      <c r="FG112" s="807"/>
      <c r="FH112" s="807"/>
      <c r="FI112" s="807"/>
      <c r="FJ112" s="807"/>
      <c r="FK112" s="807"/>
      <c r="FL112" s="807"/>
      <c r="FM112" s="807"/>
      <c r="FN112" s="807"/>
      <c r="FO112" s="807"/>
      <c r="FP112" s="807"/>
      <c r="FQ112" s="807"/>
      <c r="FR112" s="807"/>
      <c r="FS112" s="807"/>
      <c r="FT112" s="807"/>
      <c r="FU112" s="807"/>
      <c r="FV112" s="807"/>
      <c r="FW112" s="807"/>
      <c r="FX112" s="807"/>
      <c r="FY112" s="807"/>
      <c r="FZ112" s="807"/>
      <c r="GA112" s="807"/>
      <c r="GB112" s="807"/>
      <c r="GC112" s="807"/>
      <c r="GD112" s="807"/>
      <c r="GE112" s="807"/>
      <c r="GF112" s="807"/>
      <c r="GG112" s="807"/>
      <c r="GH112" s="807"/>
      <c r="GI112" s="807"/>
      <c r="GJ112" s="807"/>
      <c r="GK112" s="807"/>
      <c r="GL112" s="807"/>
      <c r="GM112" s="807"/>
      <c r="GN112" s="807"/>
      <c r="GO112" s="807"/>
      <c r="GP112" s="807"/>
    </row>
    <row r="113" spans="1:198" s="813" customFormat="1" ht="28.8">
      <c r="A113" s="819" t="s">
        <v>1010</v>
      </c>
      <c r="B113" s="820" t="s">
        <v>431</v>
      </c>
      <c r="C113" s="809" t="s">
        <v>117</v>
      </c>
      <c r="D113" s="801">
        <v>28</v>
      </c>
      <c r="E113" s="810"/>
      <c r="F113" s="993">
        <f t="shared" si="7"/>
        <v>0</v>
      </c>
      <c r="G113" s="811"/>
      <c r="H113" s="812"/>
      <c r="I113" s="812"/>
      <c r="J113" s="812"/>
      <c r="K113" s="812"/>
      <c r="L113" s="812"/>
      <c r="M113" s="812"/>
      <c r="N113" s="812"/>
      <c r="O113" s="812"/>
      <c r="P113" s="812"/>
      <c r="Q113" s="812"/>
      <c r="R113" s="812"/>
      <c r="S113" s="812"/>
      <c r="T113" s="812"/>
      <c r="U113" s="812"/>
      <c r="V113" s="812"/>
      <c r="W113" s="812"/>
      <c r="X113" s="812"/>
      <c r="Y113" s="812"/>
      <c r="Z113" s="812"/>
      <c r="AA113" s="812"/>
      <c r="AB113" s="812"/>
      <c r="AC113" s="812"/>
      <c r="AD113" s="812"/>
      <c r="AE113" s="812"/>
      <c r="AF113" s="812"/>
      <c r="AG113" s="812"/>
      <c r="AH113" s="812"/>
      <c r="AI113" s="812"/>
      <c r="AJ113" s="812"/>
      <c r="AK113" s="812"/>
      <c r="AL113" s="812"/>
      <c r="AM113" s="812"/>
      <c r="AN113" s="812"/>
      <c r="AO113" s="812"/>
      <c r="AP113" s="812"/>
      <c r="AQ113" s="812"/>
      <c r="AR113" s="812"/>
      <c r="AS113" s="812"/>
      <c r="AT113" s="812"/>
      <c r="AU113" s="812"/>
      <c r="AV113" s="812"/>
      <c r="AW113" s="812"/>
      <c r="AX113" s="812"/>
      <c r="AY113" s="812"/>
      <c r="AZ113" s="812"/>
      <c r="BA113" s="812"/>
      <c r="BB113" s="812"/>
      <c r="BC113" s="812"/>
      <c r="BD113" s="812"/>
      <c r="BE113" s="812"/>
      <c r="BF113" s="812"/>
      <c r="BG113" s="812"/>
      <c r="BH113" s="812"/>
      <c r="BI113" s="812"/>
      <c r="BJ113" s="812"/>
      <c r="BK113" s="812"/>
      <c r="BL113" s="812"/>
      <c r="BM113" s="812"/>
      <c r="BN113" s="812"/>
      <c r="BO113" s="812"/>
      <c r="BP113" s="812"/>
      <c r="BQ113" s="812"/>
      <c r="BR113" s="812"/>
      <c r="BS113" s="812"/>
      <c r="BT113" s="812"/>
      <c r="BU113" s="812"/>
      <c r="BV113" s="812"/>
      <c r="BW113" s="812"/>
      <c r="BX113" s="812"/>
      <c r="BY113" s="812"/>
      <c r="BZ113" s="812"/>
      <c r="CA113" s="812"/>
      <c r="CB113" s="812"/>
      <c r="CC113" s="812"/>
      <c r="CD113" s="812"/>
      <c r="CE113" s="812"/>
      <c r="CF113" s="812"/>
      <c r="CG113" s="812"/>
      <c r="CH113" s="812"/>
      <c r="CI113" s="812"/>
      <c r="CJ113" s="812"/>
      <c r="CK113" s="812"/>
      <c r="CL113" s="812"/>
      <c r="CM113" s="812"/>
      <c r="CN113" s="812"/>
      <c r="CO113" s="812"/>
      <c r="CP113" s="812"/>
      <c r="CQ113" s="812"/>
      <c r="CR113" s="812"/>
      <c r="CS113" s="812"/>
      <c r="CT113" s="812"/>
      <c r="CU113" s="812"/>
      <c r="CV113" s="812"/>
      <c r="CW113" s="812"/>
      <c r="CX113" s="812"/>
      <c r="CY113" s="812"/>
      <c r="CZ113" s="812"/>
      <c r="DA113" s="812"/>
      <c r="DB113" s="812"/>
      <c r="DC113" s="812"/>
      <c r="DD113" s="812"/>
      <c r="DE113" s="812"/>
      <c r="DF113" s="812"/>
      <c r="DG113" s="812"/>
      <c r="DH113" s="812"/>
      <c r="DI113" s="812"/>
      <c r="DJ113" s="812"/>
      <c r="DK113" s="812"/>
      <c r="DL113" s="812"/>
      <c r="DM113" s="812"/>
      <c r="DN113" s="812"/>
      <c r="DO113" s="812"/>
      <c r="DP113" s="812"/>
      <c r="DQ113" s="812"/>
      <c r="DR113" s="812"/>
      <c r="DS113" s="812"/>
      <c r="DT113" s="812"/>
      <c r="DU113" s="812"/>
      <c r="DV113" s="812"/>
      <c r="DW113" s="812"/>
      <c r="DX113" s="812"/>
      <c r="DY113" s="812"/>
      <c r="DZ113" s="812"/>
      <c r="EA113" s="812"/>
      <c r="EB113" s="812"/>
      <c r="EC113" s="812"/>
      <c r="ED113" s="812"/>
      <c r="EE113" s="812"/>
      <c r="EF113" s="812"/>
      <c r="EG113" s="812"/>
      <c r="EH113" s="812"/>
      <c r="EI113" s="812"/>
      <c r="EJ113" s="812"/>
      <c r="EK113" s="812"/>
      <c r="EL113" s="812"/>
      <c r="EM113" s="812"/>
      <c r="EN113" s="812"/>
      <c r="EO113" s="812"/>
      <c r="EP113" s="812"/>
      <c r="EQ113" s="812"/>
      <c r="ER113" s="812"/>
      <c r="ES113" s="812"/>
      <c r="ET113" s="812"/>
      <c r="EU113" s="812"/>
      <c r="EV113" s="812"/>
      <c r="EW113" s="812"/>
      <c r="EX113" s="812"/>
      <c r="EY113" s="812"/>
      <c r="EZ113" s="812"/>
      <c r="FA113" s="812"/>
      <c r="FB113" s="812"/>
      <c r="FC113" s="812"/>
      <c r="FD113" s="812"/>
      <c r="FE113" s="812"/>
      <c r="FF113" s="812"/>
      <c r="FG113" s="812"/>
      <c r="FH113" s="812"/>
      <c r="FI113" s="812"/>
      <c r="FJ113" s="812"/>
      <c r="FK113" s="812"/>
      <c r="FL113" s="812"/>
      <c r="FM113" s="812"/>
      <c r="FN113" s="812"/>
      <c r="FO113" s="812"/>
      <c r="FP113" s="812"/>
      <c r="FQ113" s="812"/>
      <c r="FR113" s="812"/>
      <c r="FS113" s="812"/>
      <c r="FT113" s="812"/>
      <c r="FU113" s="812"/>
      <c r="FV113" s="812"/>
      <c r="FW113" s="812"/>
      <c r="FX113" s="812"/>
      <c r="FY113" s="812"/>
      <c r="FZ113" s="812"/>
      <c r="GA113" s="812"/>
      <c r="GB113" s="812"/>
      <c r="GC113" s="812"/>
      <c r="GD113" s="812"/>
      <c r="GE113" s="812"/>
      <c r="GF113" s="812"/>
      <c r="GG113" s="812"/>
      <c r="GH113" s="812"/>
      <c r="GI113" s="812"/>
      <c r="GJ113" s="812"/>
      <c r="GK113" s="812"/>
      <c r="GL113" s="812"/>
      <c r="GM113" s="812"/>
      <c r="GN113" s="812"/>
      <c r="GO113" s="812"/>
      <c r="GP113" s="812"/>
    </row>
    <row r="114" spans="1:198" s="15" customFormat="1">
      <c r="A114" s="830"/>
      <c r="B114" s="831"/>
      <c r="C114" s="832"/>
      <c r="D114" s="833"/>
      <c r="E114" s="23"/>
      <c r="F114" s="997"/>
    </row>
    <row r="115" spans="1:198" s="838" customFormat="1">
      <c r="A115" s="834"/>
      <c r="B115" s="835" t="s">
        <v>1029</v>
      </c>
      <c r="C115" s="836"/>
      <c r="D115" s="834"/>
      <c r="E115" s="834"/>
      <c r="F115" s="998">
        <f>SUM(F113)</f>
        <v>0</v>
      </c>
      <c r="G115" s="837"/>
    </row>
    <row r="116" spans="1:198" s="838" customFormat="1">
      <c r="A116" s="834"/>
      <c r="B116" s="834"/>
      <c r="C116" s="834"/>
      <c r="D116" s="834"/>
      <c r="E116" s="834"/>
      <c r="F116" s="998"/>
      <c r="G116" s="837"/>
    </row>
    <row r="117" spans="1:198" s="15" customFormat="1">
      <c r="A117" s="866">
        <v>2.7</v>
      </c>
      <c r="B117" s="867" t="s">
        <v>1075</v>
      </c>
      <c r="C117" s="868"/>
      <c r="D117" s="869"/>
      <c r="E117" s="868"/>
      <c r="F117" s="999"/>
    </row>
    <row r="118" spans="1:198" s="15" customFormat="1">
      <c r="A118" s="870"/>
      <c r="B118" s="871" t="s">
        <v>112</v>
      </c>
      <c r="C118" s="868"/>
      <c r="D118" s="869"/>
      <c r="E118" s="868"/>
      <c r="F118" s="999"/>
    </row>
    <row r="119" spans="1:198" s="15" customFormat="1">
      <c r="A119" s="870"/>
      <c r="B119" s="871" t="s">
        <v>1009</v>
      </c>
      <c r="C119" s="868"/>
      <c r="D119" s="869"/>
      <c r="E119" s="868"/>
      <c r="F119" s="999"/>
    </row>
    <row r="120" spans="1:198" s="15" customFormat="1">
      <c r="A120" s="870" t="s">
        <v>1030</v>
      </c>
      <c r="B120" s="872" t="s">
        <v>113</v>
      </c>
      <c r="C120" s="868" t="s">
        <v>2</v>
      </c>
      <c r="D120" s="869">
        <f>D60</f>
        <v>504</v>
      </c>
      <c r="E120" s="868"/>
      <c r="F120" s="999">
        <f>E120*D120</f>
        <v>0</v>
      </c>
    </row>
    <row r="121" spans="1:198" s="15" customFormat="1" ht="28.8">
      <c r="A121" s="870"/>
      <c r="B121" s="871" t="s">
        <v>1011</v>
      </c>
      <c r="C121" s="868"/>
      <c r="D121" s="869"/>
      <c r="E121" s="868"/>
      <c r="F121" s="999"/>
    </row>
    <row r="122" spans="1:198" s="15" customFormat="1">
      <c r="A122" s="870" t="s">
        <v>1031</v>
      </c>
      <c r="B122" s="872" t="s">
        <v>1012</v>
      </c>
      <c r="C122" s="868" t="s">
        <v>2</v>
      </c>
      <c r="D122" s="869">
        <f>D61*2</f>
        <v>1168</v>
      </c>
      <c r="E122" s="868"/>
      <c r="F122" s="999">
        <f>E122*D122</f>
        <v>0</v>
      </c>
    </row>
    <row r="123" spans="1:198" s="15" customFormat="1">
      <c r="A123" s="870"/>
      <c r="B123" s="872" t="s">
        <v>1210</v>
      </c>
      <c r="C123" s="868" t="s">
        <v>1211</v>
      </c>
      <c r="D123" s="869">
        <f>D15</f>
        <v>420</v>
      </c>
      <c r="E123" s="868"/>
      <c r="F123" s="999">
        <f>E123*D123</f>
        <v>0</v>
      </c>
    </row>
    <row r="124" spans="1:198" s="15" customFormat="1">
      <c r="A124" s="870"/>
      <c r="B124" s="867" t="s">
        <v>114</v>
      </c>
      <c r="C124" s="868"/>
      <c r="D124" s="869"/>
      <c r="E124" s="868"/>
      <c r="F124" s="999"/>
    </row>
    <row r="125" spans="1:198" s="15" customFormat="1">
      <c r="A125" s="870"/>
      <c r="B125" s="871" t="s">
        <v>115</v>
      </c>
      <c r="C125" s="868"/>
      <c r="D125" s="869"/>
      <c r="E125" s="868"/>
      <c r="F125" s="999"/>
    </row>
    <row r="126" spans="1:198" s="15" customFormat="1">
      <c r="A126" s="870" t="s">
        <v>1032</v>
      </c>
      <c r="B126" s="872" t="s">
        <v>1026</v>
      </c>
      <c r="C126" s="868" t="s">
        <v>2</v>
      </c>
      <c r="D126" s="869">
        <f>D14</f>
        <v>420</v>
      </c>
      <c r="E126" s="868"/>
      <c r="F126" s="999">
        <f>E126*D126</f>
        <v>0</v>
      </c>
    </row>
    <row r="127" spans="1:198" s="15" customFormat="1">
      <c r="A127" s="870" t="s">
        <v>1033</v>
      </c>
      <c r="B127" s="872" t="s">
        <v>1013</v>
      </c>
      <c r="C127" s="868" t="s">
        <v>3</v>
      </c>
      <c r="D127" s="869">
        <f>201*2+215</f>
        <v>617</v>
      </c>
      <c r="E127" s="868"/>
      <c r="F127" s="999">
        <f t="shared" ref="F127" si="9">D127*E127</f>
        <v>0</v>
      </c>
    </row>
    <row r="128" spans="1:198" s="15" customFormat="1">
      <c r="A128" s="870"/>
      <c r="B128" s="867" t="s">
        <v>116</v>
      </c>
      <c r="C128" s="868"/>
      <c r="D128" s="869"/>
      <c r="E128" s="868"/>
      <c r="F128" s="999"/>
    </row>
    <row r="129" spans="1:7" s="15" customFormat="1">
      <c r="A129" s="870"/>
      <c r="B129" s="867" t="s">
        <v>1019</v>
      </c>
      <c r="C129" s="868"/>
      <c r="D129" s="869"/>
      <c r="E129" s="868"/>
      <c r="F129" s="999"/>
    </row>
    <row r="130" spans="1:7" s="15" customFormat="1">
      <c r="A130" s="870"/>
      <c r="B130" s="867" t="s">
        <v>1020</v>
      </c>
      <c r="C130" s="868"/>
      <c r="D130" s="869"/>
      <c r="E130" s="868"/>
      <c r="F130" s="999"/>
    </row>
    <row r="131" spans="1:7" s="15" customFormat="1">
      <c r="A131" s="870" t="s">
        <v>1035</v>
      </c>
      <c r="B131" s="872" t="s">
        <v>1021</v>
      </c>
      <c r="C131" s="868" t="s">
        <v>2</v>
      </c>
      <c r="D131" s="869">
        <f>D120</f>
        <v>504</v>
      </c>
      <c r="E131" s="868"/>
      <c r="F131" s="999">
        <f>E131*D131</f>
        <v>0</v>
      </c>
    </row>
    <row r="132" spans="1:7" s="15" customFormat="1">
      <c r="A132" s="870"/>
      <c r="B132" s="867" t="s">
        <v>1022</v>
      </c>
      <c r="C132" s="868"/>
      <c r="D132" s="869"/>
      <c r="E132" s="868"/>
      <c r="F132" s="999"/>
    </row>
    <row r="133" spans="1:7" s="15" customFormat="1">
      <c r="A133" s="870"/>
      <c r="B133" s="867" t="s">
        <v>1023</v>
      </c>
      <c r="C133" s="868"/>
      <c r="D133" s="869"/>
      <c r="E133" s="868"/>
      <c r="F133" s="999"/>
    </row>
    <row r="134" spans="1:7" s="15" customFormat="1">
      <c r="A134" s="870" t="s">
        <v>1057</v>
      </c>
      <c r="B134" s="872" t="s">
        <v>1024</v>
      </c>
      <c r="C134" s="868" t="s">
        <v>2</v>
      </c>
      <c r="D134" s="869">
        <f>D122</f>
        <v>1168</v>
      </c>
      <c r="E134" s="868"/>
      <c r="F134" s="999">
        <f>E134*D134</f>
        <v>0</v>
      </c>
    </row>
    <row r="135" spans="1:7" s="15" customFormat="1">
      <c r="A135" s="870" t="s">
        <v>1058</v>
      </c>
      <c r="B135" s="872" t="s">
        <v>1209</v>
      </c>
      <c r="C135" s="868" t="s">
        <v>2</v>
      </c>
      <c r="D135" s="869">
        <f>D126</f>
        <v>420</v>
      </c>
      <c r="E135" s="868"/>
      <c r="F135" s="999">
        <f>E135*D135</f>
        <v>0</v>
      </c>
    </row>
    <row r="136" spans="1:7" s="15" customFormat="1">
      <c r="A136" s="870"/>
      <c r="B136" s="872"/>
      <c r="C136" s="868"/>
      <c r="D136" s="873"/>
      <c r="E136" s="868"/>
      <c r="F136" s="999"/>
    </row>
    <row r="137" spans="1:7" s="838" customFormat="1">
      <c r="A137" s="834"/>
      <c r="B137" s="834" t="s">
        <v>1027</v>
      </c>
      <c r="C137" s="834"/>
      <c r="D137" s="834"/>
      <c r="E137" s="834"/>
      <c r="F137" s="998">
        <f>SUM(F120:F136)</f>
        <v>0</v>
      </c>
      <c r="G137" s="837"/>
    </row>
    <row r="138" spans="1:7" s="838" customFormat="1">
      <c r="A138" s="834"/>
      <c r="B138" s="834"/>
      <c r="C138" s="834"/>
      <c r="D138" s="834"/>
      <c r="E138" s="834"/>
      <c r="F138" s="998"/>
      <c r="G138" s="837"/>
    </row>
    <row r="139" spans="1:7" s="838" customFormat="1">
      <c r="A139" s="834"/>
      <c r="B139" s="834"/>
      <c r="C139" s="834"/>
      <c r="D139" s="834"/>
      <c r="E139" s="834"/>
      <c r="F139" s="998"/>
      <c r="G139" s="837"/>
    </row>
    <row r="140" spans="1:7" s="838" customFormat="1">
      <c r="A140" s="834"/>
      <c r="B140" s="834"/>
      <c r="C140" s="834"/>
      <c r="D140" s="834"/>
      <c r="E140" s="834"/>
      <c r="F140" s="998"/>
      <c r="G140" s="837"/>
    </row>
    <row r="141" spans="1:7" s="838" customFormat="1">
      <c r="A141" s="834"/>
      <c r="B141" s="834"/>
      <c r="C141" s="834"/>
      <c r="D141" s="834"/>
      <c r="E141" s="834"/>
      <c r="F141" s="998"/>
      <c r="G141" s="837"/>
    </row>
    <row r="142" spans="1:7" s="838" customFormat="1">
      <c r="A142" s="834"/>
      <c r="B142" s="834"/>
      <c r="C142" s="834"/>
      <c r="D142" s="834"/>
      <c r="E142" s="834"/>
      <c r="F142" s="998"/>
      <c r="G142" s="837"/>
    </row>
    <row r="143" spans="1:7" s="838" customFormat="1">
      <c r="A143" s="834"/>
      <c r="B143" s="834"/>
      <c r="C143" s="834"/>
      <c r="D143" s="834"/>
      <c r="E143" s="834"/>
      <c r="F143" s="998"/>
      <c r="G143" s="837"/>
    </row>
    <row r="144" spans="1:7" s="838" customFormat="1">
      <c r="A144" s="834"/>
      <c r="B144" s="834"/>
      <c r="C144" s="834"/>
      <c r="D144" s="834"/>
      <c r="E144" s="834"/>
      <c r="F144" s="998"/>
      <c r="G144" s="837"/>
    </row>
    <row r="145" spans="1:7" s="838" customFormat="1">
      <c r="A145" s="864"/>
      <c r="B145" s="864"/>
      <c r="C145" s="864"/>
      <c r="D145" s="864"/>
      <c r="E145" s="864"/>
      <c r="F145" s="994"/>
      <c r="G145" s="837"/>
    </row>
    <row r="146" spans="1:7" s="838" customFormat="1">
      <c r="A146" s="864"/>
      <c r="B146" s="864"/>
      <c r="C146" s="864"/>
      <c r="D146" s="864"/>
      <c r="E146" s="864"/>
      <c r="F146" s="994"/>
      <c r="G146" s="837"/>
    </row>
    <row r="147" spans="1:7" s="838" customFormat="1">
      <c r="A147" s="864"/>
      <c r="B147" s="864"/>
      <c r="C147" s="864"/>
      <c r="D147" s="864"/>
      <c r="E147" s="864"/>
      <c r="F147" s="994"/>
      <c r="G147" s="837"/>
    </row>
    <row r="148" spans="1:7" s="838" customFormat="1">
      <c r="A148" s="864"/>
      <c r="B148" s="864"/>
      <c r="C148" s="864"/>
      <c r="D148" s="864"/>
      <c r="E148" s="864"/>
      <c r="F148" s="994"/>
      <c r="G148" s="837"/>
    </row>
    <row r="149" spans="1:7" s="838" customFormat="1">
      <c r="A149" s="834"/>
      <c r="B149" s="834"/>
      <c r="C149" s="834"/>
      <c r="D149" s="834"/>
      <c r="E149" s="834"/>
      <c r="F149" s="998"/>
      <c r="G149" s="837"/>
    </row>
    <row r="150" spans="1:7" s="838" customFormat="1">
      <c r="A150" s="135"/>
      <c r="B150" s="135"/>
      <c r="C150" s="135"/>
      <c r="D150" s="135"/>
      <c r="E150" s="135"/>
      <c r="F150" s="1000"/>
      <c r="G150" s="837"/>
    </row>
    <row r="151" spans="1:7" s="838" customFormat="1">
      <c r="A151" s="135"/>
      <c r="B151" s="135"/>
      <c r="C151" s="135"/>
      <c r="D151" s="135"/>
      <c r="E151" s="135"/>
      <c r="F151" s="1000"/>
      <c r="G151" s="837"/>
    </row>
    <row r="152" spans="1:7" s="838" customFormat="1">
      <c r="A152" s="135"/>
      <c r="B152" s="135"/>
      <c r="C152" s="135"/>
      <c r="D152" s="135"/>
      <c r="E152" s="135"/>
      <c r="F152" s="1000"/>
      <c r="G152" s="837"/>
    </row>
    <row r="153" spans="1:7" s="838" customFormat="1">
      <c r="A153" s="135"/>
      <c r="B153" s="135"/>
      <c r="C153" s="135"/>
      <c r="D153" s="135"/>
      <c r="E153" s="135"/>
      <c r="F153" s="1000"/>
      <c r="G153" s="837"/>
    </row>
    <row r="154" spans="1:7" s="838" customFormat="1">
      <c r="A154" s="135"/>
      <c r="B154" s="135"/>
      <c r="C154" s="135"/>
      <c r="D154" s="135"/>
      <c r="E154" s="135"/>
      <c r="F154" s="1000"/>
      <c r="G154" s="837"/>
    </row>
    <row r="155" spans="1:7" s="838" customFormat="1">
      <c r="A155" s="135"/>
      <c r="B155" s="135"/>
      <c r="C155" s="135"/>
      <c r="D155" s="135"/>
      <c r="E155" s="135"/>
      <c r="F155" s="1000"/>
      <c r="G155" s="837"/>
    </row>
    <row r="156" spans="1:7" s="838" customFormat="1">
      <c r="A156" s="135"/>
      <c r="B156" s="135"/>
      <c r="C156" s="135"/>
      <c r="D156" s="135"/>
      <c r="E156" s="135"/>
      <c r="F156" s="1000"/>
      <c r="G156" s="837"/>
    </row>
    <row r="157" spans="1:7" s="845" customFormat="1">
      <c r="A157" s="839" t="s">
        <v>82</v>
      </c>
      <c r="B157" s="840" t="s">
        <v>7</v>
      </c>
      <c r="C157" s="841" t="s">
        <v>141</v>
      </c>
      <c r="D157" s="842" t="s">
        <v>142</v>
      </c>
      <c r="E157" s="843" t="s">
        <v>143</v>
      </c>
      <c r="F157" s="1001" t="s">
        <v>289</v>
      </c>
      <c r="G157" s="844"/>
    </row>
    <row r="158" spans="1:7" s="787" customFormat="1" ht="28.8">
      <c r="A158" s="846">
        <v>2.8</v>
      </c>
      <c r="B158" s="847" t="s">
        <v>1076</v>
      </c>
      <c r="C158" s="183"/>
      <c r="D158" s="185"/>
      <c r="E158" s="183"/>
      <c r="F158" s="1002"/>
      <c r="G158" s="786"/>
    </row>
    <row r="159" spans="1:7" s="878" customFormat="1">
      <c r="A159" s="877"/>
      <c r="B159" s="847" t="s">
        <v>122</v>
      </c>
      <c r="C159" s="188"/>
      <c r="D159" s="190"/>
      <c r="E159" s="188"/>
      <c r="F159" s="1002">
        <f t="shared" ref="F159:F173" si="10">E159*D159</f>
        <v>0</v>
      </c>
      <c r="G159" s="856"/>
    </row>
    <row r="160" spans="1:7" s="829" customFormat="1" ht="57.6">
      <c r="A160" s="848"/>
      <c r="B160" s="849" t="s">
        <v>280</v>
      </c>
      <c r="C160" s="184"/>
      <c r="D160" s="185"/>
      <c r="E160" s="183"/>
      <c r="F160" s="1003">
        <f t="shared" si="10"/>
        <v>0</v>
      </c>
      <c r="G160" s="69"/>
    </row>
    <row r="161" spans="1:7" s="829" customFormat="1">
      <c r="A161" s="848" t="s">
        <v>1036</v>
      </c>
      <c r="B161" s="850" t="s">
        <v>507</v>
      </c>
      <c r="C161" s="184" t="s">
        <v>4</v>
      </c>
      <c r="D161" s="185">
        <v>28</v>
      </c>
      <c r="E161" s="183"/>
      <c r="F161" s="1003">
        <f t="shared" si="10"/>
        <v>0</v>
      </c>
      <c r="G161" s="69"/>
    </row>
    <row r="162" spans="1:7" s="829" customFormat="1">
      <c r="A162" s="848"/>
      <c r="B162" s="851" t="s">
        <v>123</v>
      </c>
      <c r="C162" s="184"/>
      <c r="D162" s="185"/>
      <c r="E162" s="183"/>
      <c r="F162" s="1003">
        <f t="shared" si="10"/>
        <v>0</v>
      </c>
      <c r="G162" s="69"/>
    </row>
    <row r="163" spans="1:7" s="829" customFormat="1">
      <c r="A163" s="848" t="s">
        <v>1059</v>
      </c>
      <c r="B163" s="850" t="s">
        <v>124</v>
      </c>
      <c r="C163" s="184" t="s">
        <v>117</v>
      </c>
      <c r="D163" s="185">
        <f>D161</f>
        <v>28</v>
      </c>
      <c r="E163" s="183"/>
      <c r="F163" s="1003">
        <f t="shared" si="10"/>
        <v>0</v>
      </c>
      <c r="G163" s="69"/>
    </row>
    <row r="164" spans="1:7" s="829" customFormat="1">
      <c r="A164" s="848"/>
      <c r="B164" s="847" t="s">
        <v>125</v>
      </c>
      <c r="C164" s="183"/>
      <c r="D164" s="185"/>
      <c r="E164" s="183"/>
      <c r="F164" s="1003">
        <f t="shared" si="10"/>
        <v>0</v>
      </c>
      <c r="G164" s="69"/>
    </row>
    <row r="165" spans="1:7" s="829" customFormat="1" ht="115.2">
      <c r="A165" s="848"/>
      <c r="B165" s="852" t="s">
        <v>437</v>
      </c>
      <c r="C165" s="184"/>
      <c r="D165" s="185"/>
      <c r="E165" s="183"/>
      <c r="F165" s="1003">
        <f t="shared" si="10"/>
        <v>0</v>
      </c>
      <c r="G165" s="69"/>
    </row>
    <row r="166" spans="1:7" s="829" customFormat="1">
      <c r="A166" s="848"/>
      <c r="B166" s="853" t="s">
        <v>126</v>
      </c>
      <c r="C166" s="184"/>
      <c r="D166" s="185"/>
      <c r="E166" s="183"/>
      <c r="F166" s="1003">
        <f t="shared" si="10"/>
        <v>0</v>
      </c>
      <c r="G166" s="69"/>
    </row>
    <row r="167" spans="1:7" s="829" customFormat="1">
      <c r="A167" s="848" t="s">
        <v>1060</v>
      </c>
      <c r="B167" s="853" t="s">
        <v>127</v>
      </c>
      <c r="C167" s="184" t="s">
        <v>117</v>
      </c>
      <c r="D167" s="185">
        <v>26</v>
      </c>
      <c r="E167" s="183"/>
      <c r="F167" s="1003">
        <f t="shared" si="10"/>
        <v>0</v>
      </c>
      <c r="G167" s="69"/>
    </row>
    <row r="168" spans="1:7" s="829" customFormat="1">
      <c r="A168" s="848"/>
      <c r="B168" s="851" t="s">
        <v>128</v>
      </c>
      <c r="C168" s="183"/>
      <c r="D168" s="185"/>
      <c r="E168" s="183"/>
      <c r="F168" s="1003">
        <f t="shared" si="10"/>
        <v>0</v>
      </c>
      <c r="G168" s="69"/>
    </row>
    <row r="169" spans="1:7" s="829" customFormat="1" ht="86.4">
      <c r="A169" s="848"/>
      <c r="B169" s="850" t="s">
        <v>508</v>
      </c>
      <c r="C169" s="184"/>
      <c r="D169" s="185"/>
      <c r="E169" s="183"/>
      <c r="F169" s="1003">
        <f t="shared" si="10"/>
        <v>0</v>
      </c>
      <c r="G169" s="69"/>
    </row>
    <row r="170" spans="1:7" s="829" customFormat="1">
      <c r="A170" s="848" t="s">
        <v>1061</v>
      </c>
      <c r="B170" s="853" t="s">
        <v>129</v>
      </c>
      <c r="C170" s="184" t="s">
        <v>130</v>
      </c>
      <c r="D170" s="185">
        <f>147*3</f>
        <v>441</v>
      </c>
      <c r="E170" s="183"/>
      <c r="F170" s="1003">
        <f t="shared" si="10"/>
        <v>0</v>
      </c>
      <c r="G170" s="69"/>
    </row>
    <row r="171" spans="1:7" s="829" customFormat="1" ht="43.2">
      <c r="A171" s="374"/>
      <c r="B171" s="182" t="s">
        <v>509</v>
      </c>
      <c r="C171" s="854"/>
      <c r="D171" s="185"/>
      <c r="E171" s="183"/>
      <c r="F171" s="1003">
        <f t="shared" si="10"/>
        <v>0</v>
      </c>
      <c r="G171" s="69"/>
    </row>
    <row r="172" spans="1:7" s="829" customFormat="1">
      <c r="A172" s="374" t="s">
        <v>1062</v>
      </c>
      <c r="B172" s="186" t="s">
        <v>131</v>
      </c>
      <c r="C172" s="854" t="s">
        <v>132</v>
      </c>
      <c r="D172" s="185">
        <v>8</v>
      </c>
      <c r="E172" s="183"/>
      <c r="F172" s="1003">
        <f t="shared" si="10"/>
        <v>0</v>
      </c>
      <c r="G172" s="69"/>
    </row>
    <row r="173" spans="1:7" s="829" customFormat="1" ht="43.2">
      <c r="A173" s="374"/>
      <c r="B173" s="855" t="s">
        <v>510</v>
      </c>
      <c r="C173" s="184"/>
      <c r="D173" s="185"/>
      <c r="E173" s="183"/>
      <c r="F173" s="1003">
        <f t="shared" si="10"/>
        <v>0</v>
      </c>
      <c r="G173" s="69"/>
    </row>
    <row r="174" spans="1:7" s="829" customFormat="1" ht="86.4">
      <c r="A174" s="374" t="s">
        <v>1063</v>
      </c>
      <c r="B174" s="186" t="s">
        <v>438</v>
      </c>
      <c r="C174" s="854" t="s">
        <v>439</v>
      </c>
      <c r="D174" s="185">
        <v>6</v>
      </c>
      <c r="E174" s="183"/>
      <c r="F174" s="1003">
        <f>E174*D174</f>
        <v>0</v>
      </c>
      <c r="G174" s="69"/>
    </row>
    <row r="175" spans="1:7" s="797" customFormat="1">
      <c r="A175" s="375"/>
      <c r="B175" s="856" t="s">
        <v>1034</v>
      </c>
      <c r="C175" s="857"/>
      <c r="D175" s="190"/>
      <c r="E175" s="188"/>
      <c r="F175" s="1002"/>
      <c r="G175" s="856"/>
    </row>
    <row r="176" spans="1:7" s="15" customFormat="1" ht="57.6">
      <c r="A176" s="374" t="s">
        <v>1064</v>
      </c>
      <c r="B176" s="186" t="s">
        <v>511</v>
      </c>
      <c r="C176" s="854" t="s">
        <v>140</v>
      </c>
      <c r="D176" s="185" t="s">
        <v>281</v>
      </c>
      <c r="E176" s="183"/>
      <c r="F176" s="1003"/>
      <c r="G176" s="69"/>
    </row>
    <row r="177" spans="1:7" s="797" customFormat="1">
      <c r="A177" s="375"/>
      <c r="B177" s="187" t="s">
        <v>492</v>
      </c>
      <c r="C177" s="857"/>
      <c r="D177" s="190"/>
      <c r="E177" s="188"/>
      <c r="F177" s="1004">
        <f>SUM(F160:F176)</f>
        <v>0</v>
      </c>
      <c r="G177" s="856"/>
    </row>
    <row r="178" spans="1:7">
      <c r="A178" s="59" t="s">
        <v>82</v>
      </c>
      <c r="B178" s="38" t="s">
        <v>7</v>
      </c>
      <c r="C178" s="37" t="s">
        <v>141</v>
      </c>
      <c r="D178" s="56" t="s">
        <v>142</v>
      </c>
      <c r="E178" s="57" t="s">
        <v>143</v>
      </c>
      <c r="F178" s="977" t="s">
        <v>289</v>
      </c>
    </row>
    <row r="179" spans="1:7">
      <c r="A179" s="375">
        <v>2.9</v>
      </c>
      <c r="B179" s="182" t="s">
        <v>1066</v>
      </c>
      <c r="C179" s="183"/>
      <c r="D179" s="184"/>
      <c r="E179" s="185"/>
      <c r="F179" s="1005"/>
      <c r="G179" s="65"/>
    </row>
    <row r="180" spans="1:7" ht="28.8">
      <c r="A180" s="374" t="s">
        <v>1037</v>
      </c>
      <c r="B180" s="186" t="s">
        <v>300</v>
      </c>
      <c r="C180" s="183" t="s">
        <v>140</v>
      </c>
      <c r="D180" s="184" t="s">
        <v>281</v>
      </c>
      <c r="E180" s="185"/>
      <c r="F180" s="1003">
        <f>E180</f>
        <v>0</v>
      </c>
      <c r="G180" s="65"/>
    </row>
    <row r="181" spans="1:7" s="104" customFormat="1">
      <c r="A181" s="375"/>
      <c r="B181" s="187" t="s">
        <v>493</v>
      </c>
      <c r="C181" s="188"/>
      <c r="D181" s="189"/>
      <c r="E181" s="190"/>
      <c r="F181" s="1005">
        <f>SUM(F180)</f>
        <v>0</v>
      </c>
      <c r="G181" s="191"/>
    </row>
    <row r="182" spans="1:7">
      <c r="A182" s="374"/>
      <c r="B182" s="186"/>
      <c r="C182" s="183"/>
      <c r="D182" s="184"/>
      <c r="E182" s="185"/>
      <c r="F182" s="1005"/>
      <c r="G182" s="65"/>
    </row>
    <row r="183" spans="1:7">
      <c r="A183" s="880">
        <v>2.1</v>
      </c>
      <c r="B183" s="182" t="s">
        <v>1065</v>
      </c>
      <c r="C183" s="183"/>
      <c r="D183" s="184"/>
      <c r="E183" s="185"/>
      <c r="F183" s="1005"/>
      <c r="G183" s="65"/>
    </row>
    <row r="184" spans="1:7" ht="172.8">
      <c r="A184" s="374" t="s">
        <v>1038</v>
      </c>
      <c r="B184" s="192" t="s">
        <v>512</v>
      </c>
      <c r="C184" s="183" t="s">
        <v>282</v>
      </c>
      <c r="D184" s="184" t="s">
        <v>281</v>
      </c>
      <c r="E184" s="185"/>
      <c r="F184" s="1005"/>
      <c r="G184" s="65"/>
    </row>
    <row r="185" spans="1:7" s="104" customFormat="1">
      <c r="A185" s="375"/>
      <c r="B185" s="193" t="s">
        <v>494</v>
      </c>
      <c r="C185" s="188"/>
      <c r="D185" s="189"/>
      <c r="E185" s="190"/>
      <c r="F185" s="1005">
        <f>SUM(F184)</f>
        <v>0</v>
      </c>
      <c r="G185" s="191"/>
    </row>
    <row r="186" spans="1:7" ht="16.5" customHeight="1">
      <c r="A186" s="374"/>
      <c r="B186" s="192"/>
      <c r="C186" s="183"/>
      <c r="D186" s="184"/>
      <c r="E186" s="185"/>
      <c r="F186" s="1005"/>
      <c r="G186" s="65"/>
    </row>
    <row r="187" spans="1:7">
      <c r="A187" s="879">
        <v>2.11</v>
      </c>
      <c r="B187" s="182" t="s">
        <v>1067</v>
      </c>
      <c r="C187" s="194"/>
      <c r="D187" s="195"/>
      <c r="E187" s="195"/>
      <c r="F187" s="1006"/>
      <c r="G187" s="65"/>
    </row>
    <row r="188" spans="1:7">
      <c r="A188" s="376" t="s">
        <v>1068</v>
      </c>
      <c r="B188" s="186" t="s">
        <v>301</v>
      </c>
      <c r="C188" s="194" t="s">
        <v>162</v>
      </c>
      <c r="D188" s="195">
        <v>11</v>
      </c>
      <c r="E188" s="195"/>
      <c r="F188" s="1006">
        <f>D188*E188</f>
        <v>0</v>
      </c>
      <c r="G188" s="65"/>
    </row>
    <row r="189" spans="1:7" ht="28.8">
      <c r="A189" s="376" t="s">
        <v>1069</v>
      </c>
      <c r="B189" s="186" t="s">
        <v>513</v>
      </c>
      <c r="C189" s="194" t="s">
        <v>162</v>
      </c>
      <c r="D189" s="195">
        <v>7</v>
      </c>
      <c r="E189" s="195"/>
      <c r="F189" s="1006">
        <f>D189*E189</f>
        <v>0</v>
      </c>
      <c r="G189" s="65"/>
    </row>
    <row r="190" spans="1:7">
      <c r="A190" s="376" t="s">
        <v>1070</v>
      </c>
      <c r="B190" s="186" t="s">
        <v>225</v>
      </c>
      <c r="C190" s="194" t="s">
        <v>164</v>
      </c>
      <c r="D190" s="195">
        <v>4</v>
      </c>
      <c r="E190" s="195"/>
      <c r="F190" s="1006">
        <f>D190*E190</f>
        <v>0</v>
      </c>
      <c r="G190" s="65"/>
    </row>
    <row r="191" spans="1:7">
      <c r="A191" s="376" t="s">
        <v>1071</v>
      </c>
      <c r="B191" s="186" t="s">
        <v>226</v>
      </c>
      <c r="C191" s="194" t="s">
        <v>162</v>
      </c>
      <c r="D191" s="195">
        <v>1</v>
      </c>
      <c r="E191" s="195"/>
      <c r="F191" s="1006">
        <f>D191*E191</f>
        <v>0</v>
      </c>
      <c r="G191" s="65"/>
    </row>
    <row r="192" spans="1:7">
      <c r="A192" s="180"/>
      <c r="B192" s="196" t="s">
        <v>495</v>
      </c>
      <c r="C192" s="181"/>
      <c r="D192" s="197"/>
      <c r="E192" s="198"/>
      <c r="F192" s="1007">
        <f>SUM(F188:F191)</f>
        <v>0</v>
      </c>
      <c r="G192" s="65"/>
    </row>
    <row r="193" spans="1:7">
      <c r="A193" s="923"/>
      <c r="B193" s="924"/>
      <c r="C193" s="925"/>
      <c r="D193" s="926"/>
      <c r="E193" s="927"/>
      <c r="F193" s="1008"/>
      <c r="G193" s="65"/>
    </row>
    <row r="194" spans="1:7">
      <c r="A194" s="374"/>
      <c r="B194" s="200" t="s">
        <v>461</v>
      </c>
      <c r="C194" s="199"/>
      <c r="D194" s="199"/>
      <c r="E194" s="199"/>
      <c r="F194" s="1009"/>
      <c r="G194" s="65"/>
    </row>
    <row r="195" spans="1:7">
      <c r="A195" s="374">
        <v>2.1</v>
      </c>
      <c r="B195" s="199" t="str">
        <f>B7</f>
        <v>ELEMENT NO. 1 : SUB-STRUCTURES (all provisional)</v>
      </c>
      <c r="C195" s="199"/>
      <c r="D195" s="199"/>
      <c r="E195" s="199"/>
      <c r="F195" s="1009">
        <f>F38</f>
        <v>0</v>
      </c>
      <c r="G195" s="65"/>
    </row>
    <row r="196" spans="1:7">
      <c r="A196" s="374">
        <v>2.2000000000000002</v>
      </c>
      <c r="B196" s="199" t="str">
        <f>B41</f>
        <v>ELEMENT NO. 2: SUPER STRUCTURE CONCRETE</v>
      </c>
      <c r="C196" s="199"/>
      <c r="D196" s="199"/>
      <c r="E196" s="199"/>
      <c r="F196" s="1009">
        <f>F54</f>
        <v>0</v>
      </c>
      <c r="G196" s="65"/>
    </row>
    <row r="197" spans="1:7">
      <c r="A197" s="374">
        <v>2.2999999999999998</v>
      </c>
      <c r="B197" s="199" t="str">
        <f>B56</f>
        <v>ELEMENT NO. 3 SUPERSTRUCTURE WALLING</v>
      </c>
      <c r="C197" s="199"/>
      <c r="D197" s="199"/>
      <c r="E197" s="199"/>
      <c r="F197" s="1009">
        <f>F65</f>
        <v>0</v>
      </c>
      <c r="G197" s="65"/>
    </row>
    <row r="198" spans="1:7">
      <c r="A198" s="374">
        <v>2.4</v>
      </c>
      <c r="B198" s="199" t="str">
        <f>B67</f>
        <v>ELEMENT NO. 4 - ROOFING</v>
      </c>
      <c r="C198" s="199"/>
      <c r="D198" s="199"/>
      <c r="E198" s="199"/>
      <c r="F198" s="1009">
        <f>F94</f>
        <v>0</v>
      </c>
      <c r="G198" s="65"/>
    </row>
    <row r="199" spans="1:7">
      <c r="A199" s="374">
        <v>2.5</v>
      </c>
      <c r="B199" s="379" t="str">
        <f>B96</f>
        <v>ELEMENT NO. 5: DOORS</v>
      </c>
      <c r="C199" s="199"/>
      <c r="D199" s="199"/>
      <c r="E199" s="199"/>
      <c r="F199" s="1009">
        <f>F109</f>
        <v>0</v>
      </c>
      <c r="G199" s="65"/>
    </row>
    <row r="200" spans="1:7">
      <c r="A200" s="374">
        <v>2.6</v>
      </c>
      <c r="B200" s="199" t="str">
        <f>B112</f>
        <v>ELEMENT NO. 6: WINDOWS</v>
      </c>
      <c r="C200" s="199"/>
      <c r="D200" s="199"/>
      <c r="E200" s="199"/>
      <c r="F200" s="1009">
        <f>F115</f>
        <v>0</v>
      </c>
      <c r="G200" s="65"/>
    </row>
    <row r="201" spans="1:7">
      <c r="A201" s="374">
        <v>2.7</v>
      </c>
      <c r="B201" s="199" t="str">
        <f>B117</f>
        <v>ELEMENT NO 7: FINISHES</v>
      </c>
      <c r="C201" s="199"/>
      <c r="D201" s="199"/>
      <c r="E201" s="199"/>
      <c r="F201" s="1009">
        <f>F137</f>
        <v>0</v>
      </c>
      <c r="G201" s="65"/>
    </row>
    <row r="202" spans="1:7">
      <c r="A202" s="374">
        <v>2.8</v>
      </c>
      <c r="B202" s="881" t="str">
        <f>B158</f>
        <v>ELEMENT NO. 8: ELECTRICAL INSTALLATIONS AND SERVICES</v>
      </c>
      <c r="C202" s="199"/>
      <c r="D202" s="199"/>
      <c r="E202" s="199"/>
      <c r="F202" s="1009">
        <f>F177</f>
        <v>0</v>
      </c>
      <c r="G202" s="65"/>
    </row>
    <row r="203" spans="1:7">
      <c r="A203" s="374">
        <v>2.9</v>
      </c>
      <c r="B203" s="199" t="str">
        <f>B179</f>
        <v>ELEMENT NO. 9: STEPS AND RUMPS</v>
      </c>
      <c r="C203" s="199"/>
      <c r="D203" s="199"/>
      <c r="E203" s="199"/>
      <c r="F203" s="1009">
        <f>F181</f>
        <v>0</v>
      </c>
      <c r="G203" s="65"/>
    </row>
    <row r="204" spans="1:7">
      <c r="A204" s="882">
        <v>2.1</v>
      </c>
      <c r="B204" s="199" t="str">
        <f>B183</f>
        <v xml:space="preserve">ELEMENT NO. 10 WASH AREA FOR PRAYERS </v>
      </c>
      <c r="C204" s="199"/>
      <c r="D204" s="199"/>
      <c r="E204" s="199"/>
      <c r="F204" s="1009">
        <f>F185</f>
        <v>0</v>
      </c>
      <c r="G204" s="65"/>
    </row>
    <row r="205" spans="1:7">
      <c r="A205" s="374">
        <v>2.11</v>
      </c>
      <c r="B205" s="199" t="str">
        <f>B187</f>
        <v>ELEMENT NO. 11: SOAK PIT 1 No.</v>
      </c>
      <c r="C205" s="199"/>
      <c r="D205" s="199"/>
      <c r="E205" s="199"/>
      <c r="F205" s="1009">
        <f>F192</f>
        <v>0</v>
      </c>
      <c r="G205" s="65"/>
    </row>
    <row r="206" spans="1:7">
      <c r="A206" s="374"/>
      <c r="B206" s="199"/>
      <c r="C206" s="199"/>
      <c r="D206" s="199"/>
      <c r="E206" s="199"/>
      <c r="F206" s="1009"/>
      <c r="G206" s="65"/>
    </row>
    <row r="207" spans="1:7" s="104" customFormat="1">
      <c r="A207" s="375"/>
      <c r="B207" s="200" t="s">
        <v>464</v>
      </c>
      <c r="C207" s="200"/>
      <c r="D207" s="200"/>
      <c r="E207" s="200"/>
      <c r="F207" s="1010">
        <f>SUM(F195:F206)</f>
        <v>0</v>
      </c>
      <c r="G207" s="976">
        <f>F207/420</f>
        <v>0</v>
      </c>
    </row>
  </sheetData>
  <customSheetViews>
    <customSheetView guid="{58A41188-4CB9-4607-A927-9B98665919B2}" showPageBreaks="1" printArea="1" view="pageBreakPreview">
      <pane xSplit="2" ySplit="1" topLeftCell="C137" activePane="bottomRight" state="frozen"/>
      <selection pane="bottomRight" activeCell="F156" sqref="F156"/>
      <rowBreaks count="5" manualBreakCount="5">
        <brk id="31" max="5" man="1"/>
        <brk id="64" max="5" man="1"/>
        <brk id="103" max="5" man="1"/>
        <brk id="125" max="5" man="1"/>
        <brk id="140" max="5" man="1"/>
      </rowBreaks>
      <pageMargins left="0.7" right="0.7" top="0.75" bottom="0.75" header="0.3" footer="0.3"/>
      <pageSetup scale="73" orientation="portrait" r:id="rId1"/>
    </customSheetView>
    <customSheetView guid="{1E933494-4ABB-4290-95BF-88ADDB331983}" scale="119" showPageBreaks="1" printArea="1" view="pageBreakPreview">
      <pane xSplit="2" ySplit="1" topLeftCell="C71" activePane="bottomRight" state="frozen"/>
      <selection pane="bottomRight" activeCell="C182" sqref="C182"/>
      <pageMargins left="0.7" right="0.7" top="0.75" bottom="0.75" header="0.3" footer="0.3"/>
      <pageSetup orientation="portrait" r:id="rId2"/>
    </customSheetView>
  </customSheetViews>
  <pageMargins left="0.7" right="0.7" top="0.75" bottom="0.75" header="0.3" footer="0.3"/>
  <pageSetup scale="73" orientation="portrait" r:id="rId3"/>
  <rowBreaks count="2" manualBreakCount="2">
    <brk id="38" max="5" man="1"/>
    <brk id="17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21"/>
  <sheetViews>
    <sheetView view="pageBreakPreview" zoomScale="110" zoomScaleNormal="100" zoomScaleSheetLayoutView="110" workbookViewId="0">
      <pane xSplit="2" ySplit="1" topLeftCell="C2" activePane="bottomRight" state="frozen"/>
      <selection pane="topRight" activeCell="C1" sqref="C1"/>
      <selection pane="bottomLeft" activeCell="A2" sqref="A2"/>
      <selection pane="bottomRight" activeCell="A193" sqref="A193:XFD193"/>
    </sheetView>
  </sheetViews>
  <sheetFormatPr defaultColWidth="8.88671875" defaultRowHeight="14.4"/>
  <cols>
    <col min="1" max="1" width="7.5546875" style="377" customWidth="1"/>
    <col min="2" max="2" width="53.6640625" style="29" customWidth="1"/>
    <col min="3" max="3" width="5.44140625" style="29" bestFit="1" customWidth="1"/>
    <col min="4" max="5" width="7.109375" style="29" bestFit="1" customWidth="1"/>
    <col min="6" max="6" width="13.88671875" style="1011" customWidth="1"/>
    <col min="7" max="16384" width="8.88671875" style="29"/>
  </cols>
  <sheetData>
    <row r="1" spans="1:8">
      <c r="A1" s="59" t="s">
        <v>82</v>
      </c>
      <c r="B1" s="38" t="s">
        <v>7</v>
      </c>
      <c r="C1" s="37" t="s">
        <v>141</v>
      </c>
      <c r="D1" s="56" t="s">
        <v>142</v>
      </c>
      <c r="E1" s="57" t="s">
        <v>143</v>
      </c>
      <c r="F1" s="977" t="s">
        <v>289</v>
      </c>
    </row>
    <row r="2" spans="1:8">
      <c r="A2" s="60"/>
      <c r="B2" s="11">
        <f>'1 Preliminaries '!I5</f>
        <v>0</v>
      </c>
      <c r="C2" s="27"/>
      <c r="D2" s="32"/>
      <c r="E2" s="51"/>
      <c r="F2" s="1012"/>
    </row>
    <row r="3" spans="1:8">
      <c r="A3" s="60"/>
      <c r="B3" s="28" t="s">
        <v>518</v>
      </c>
      <c r="C3" s="27"/>
      <c r="D3" s="32"/>
      <c r="E3" s="51"/>
      <c r="F3" s="1012"/>
    </row>
    <row r="4" spans="1:8">
      <c r="A4" s="60"/>
      <c r="B4" s="28"/>
      <c r="C4" s="27"/>
      <c r="D4" s="32"/>
      <c r="E4" s="51"/>
      <c r="F4" s="1012"/>
    </row>
    <row r="5" spans="1:8">
      <c r="A5" s="358">
        <v>3</v>
      </c>
      <c r="B5" s="11" t="s">
        <v>515</v>
      </c>
      <c r="C5" s="12"/>
      <c r="D5" s="13"/>
      <c r="E5" s="33"/>
      <c r="F5" s="979"/>
    </row>
    <row r="6" spans="1:8">
      <c r="A6" s="358"/>
      <c r="B6" s="19"/>
      <c r="C6" s="12"/>
      <c r="D6" s="13"/>
      <c r="E6" s="33"/>
      <c r="F6" s="979"/>
    </row>
    <row r="7" spans="1:8">
      <c r="A7" s="358">
        <v>3.1</v>
      </c>
      <c r="B7" s="11" t="s">
        <v>290</v>
      </c>
      <c r="C7" s="12"/>
      <c r="D7" s="13"/>
      <c r="E7" s="33"/>
      <c r="F7" s="979"/>
    </row>
    <row r="8" spans="1:8" ht="16.2">
      <c r="A8" s="358" t="s">
        <v>319</v>
      </c>
      <c r="B8" s="16" t="s">
        <v>534</v>
      </c>
      <c r="C8" s="13" t="s">
        <v>482</v>
      </c>
      <c r="D8" s="237">
        <v>5</v>
      </c>
      <c r="E8" s="238"/>
      <c r="F8" s="979">
        <f t="shared" ref="F8" si="0">D8*E8</f>
        <v>0</v>
      </c>
    </row>
    <row r="9" spans="1:8" ht="16.2">
      <c r="A9" s="358" t="s">
        <v>320</v>
      </c>
      <c r="B9" s="16" t="s">
        <v>499</v>
      </c>
      <c r="C9" s="13" t="s">
        <v>278</v>
      </c>
      <c r="D9" s="13">
        <v>224</v>
      </c>
      <c r="E9" s="33"/>
      <c r="F9" s="979">
        <f>D9*E9</f>
        <v>0</v>
      </c>
    </row>
    <row r="10" spans="1:8" ht="28.8">
      <c r="A10" s="359" t="s">
        <v>321</v>
      </c>
      <c r="B10" s="16" t="s">
        <v>291</v>
      </c>
      <c r="C10" s="13" t="s">
        <v>278</v>
      </c>
      <c r="D10" s="13">
        <f>D9</f>
        <v>224</v>
      </c>
      <c r="E10" s="33"/>
      <c r="F10" s="979">
        <f>D10*E10</f>
        <v>0</v>
      </c>
    </row>
    <row r="11" spans="1:8" ht="28.8">
      <c r="A11" s="358" t="s">
        <v>322</v>
      </c>
      <c r="B11" s="239" t="s">
        <v>1192</v>
      </c>
      <c r="C11" s="13" t="s">
        <v>482</v>
      </c>
      <c r="D11" s="237">
        <f>CEILING((82+6.5*4)*1*0.6,1)</f>
        <v>65</v>
      </c>
      <c r="E11" s="238"/>
      <c r="F11" s="979">
        <f t="shared" ref="F11" si="1">D11*E11</f>
        <v>0</v>
      </c>
    </row>
    <row r="12" spans="1:8" ht="16.2">
      <c r="A12" s="358" t="s">
        <v>323</v>
      </c>
      <c r="B12" s="239" t="s">
        <v>1193</v>
      </c>
      <c r="C12" s="13" t="s">
        <v>278</v>
      </c>
      <c r="D12" s="237">
        <f>CEILING((82+6.5*4)*0.8,1)</f>
        <v>87</v>
      </c>
      <c r="E12" s="238"/>
      <c r="F12" s="979">
        <f>D12*E12</f>
        <v>0</v>
      </c>
      <c r="H12" s="29">
        <f>6.5*33</f>
        <v>214.5</v>
      </c>
    </row>
    <row r="13" spans="1:8">
      <c r="A13" s="358"/>
      <c r="B13" s="11" t="s">
        <v>500</v>
      </c>
      <c r="C13" s="13"/>
      <c r="D13" s="13"/>
      <c r="E13" s="33"/>
      <c r="F13" s="980"/>
    </row>
    <row r="14" spans="1:8" ht="28.8">
      <c r="A14" s="358" t="s">
        <v>324</v>
      </c>
      <c r="B14" s="16" t="s">
        <v>501</v>
      </c>
      <c r="C14" s="13" t="s">
        <v>278</v>
      </c>
      <c r="D14" s="13">
        <f>D10</f>
        <v>224</v>
      </c>
      <c r="E14" s="33"/>
      <c r="F14" s="979">
        <f>D14*E14</f>
        <v>0</v>
      </c>
    </row>
    <row r="15" spans="1:8" ht="28.8">
      <c r="A15" s="358" t="s">
        <v>325</v>
      </c>
      <c r="B15" s="16" t="s">
        <v>502</v>
      </c>
      <c r="C15" s="13" t="s">
        <v>278</v>
      </c>
      <c r="D15" s="13">
        <f>D14</f>
        <v>224</v>
      </c>
      <c r="E15" s="33"/>
      <c r="F15" s="979">
        <f>D15*E15</f>
        <v>0</v>
      </c>
    </row>
    <row r="16" spans="1:8">
      <c r="A16" s="358"/>
      <c r="B16" s="11" t="s">
        <v>120</v>
      </c>
      <c r="C16" s="12"/>
      <c r="D16" s="13"/>
      <c r="E16" s="33"/>
      <c r="F16" s="979">
        <f t="shared" ref="F16:F19" si="2">D16*E16</f>
        <v>0</v>
      </c>
    </row>
    <row r="17" spans="1:6" ht="43.2">
      <c r="A17" s="358" t="s">
        <v>326</v>
      </c>
      <c r="B17" s="16" t="s">
        <v>483</v>
      </c>
      <c r="C17" s="13" t="s">
        <v>278</v>
      </c>
      <c r="D17" s="13">
        <f>D15</f>
        <v>224</v>
      </c>
      <c r="E17" s="33"/>
      <c r="F17" s="979">
        <f t="shared" si="2"/>
        <v>0</v>
      </c>
    </row>
    <row r="18" spans="1:6">
      <c r="A18" s="358"/>
      <c r="B18" s="11" t="s">
        <v>108</v>
      </c>
      <c r="C18" s="12"/>
      <c r="D18" s="13"/>
      <c r="E18" s="33"/>
      <c r="F18" s="979">
        <f t="shared" si="2"/>
        <v>0</v>
      </c>
    </row>
    <row r="19" spans="1:6" ht="43.2">
      <c r="A19" s="358" t="s">
        <v>327</v>
      </c>
      <c r="B19" s="16" t="s">
        <v>503</v>
      </c>
      <c r="C19" s="13" t="s">
        <v>278</v>
      </c>
      <c r="D19" s="13">
        <f>D17</f>
        <v>224</v>
      </c>
      <c r="E19" s="33"/>
      <c r="F19" s="979">
        <f t="shared" si="2"/>
        <v>0</v>
      </c>
    </row>
    <row r="20" spans="1:6">
      <c r="A20" s="358"/>
      <c r="B20" s="11" t="s">
        <v>284</v>
      </c>
      <c r="C20" s="12"/>
      <c r="D20" s="13"/>
      <c r="E20" s="33"/>
      <c r="F20" s="979">
        <f>D20*E20</f>
        <v>0</v>
      </c>
    </row>
    <row r="21" spans="1:6">
      <c r="A21" s="358" t="s">
        <v>328</v>
      </c>
      <c r="B21" s="16" t="s">
        <v>292</v>
      </c>
      <c r="C21" s="13" t="s">
        <v>285</v>
      </c>
      <c r="D21" s="13">
        <v>82</v>
      </c>
      <c r="E21" s="33"/>
      <c r="F21" s="979">
        <f>D21*E21</f>
        <v>0</v>
      </c>
    </row>
    <row r="22" spans="1:6">
      <c r="A22" s="358"/>
      <c r="B22" s="11" t="s">
        <v>293</v>
      </c>
      <c r="C22" s="13"/>
      <c r="D22" s="13"/>
      <c r="E22" s="33"/>
      <c r="F22" s="979">
        <f>D22*E22</f>
        <v>0</v>
      </c>
    </row>
    <row r="23" spans="1:6" s="15" customFormat="1">
      <c r="A23" s="758" t="s">
        <v>329</v>
      </c>
      <c r="B23" s="762" t="s">
        <v>976</v>
      </c>
      <c r="C23" s="760" t="s">
        <v>102</v>
      </c>
      <c r="D23" s="761">
        <f>CEILING((82+6.5*4)/0.2*1.1*0.395,1)+CEILING((82+6.5*4)*3*1.15*0.395,1)+CEILING(27*0.5*3*0.395,1)</f>
        <v>399</v>
      </c>
      <c r="E23" s="760"/>
      <c r="F23" s="981">
        <f>E23*D23</f>
        <v>0</v>
      </c>
    </row>
    <row r="24" spans="1:6" s="15" customFormat="1">
      <c r="A24" s="870"/>
      <c r="B24" s="762" t="s">
        <v>1202</v>
      </c>
      <c r="C24" s="760" t="s">
        <v>102</v>
      </c>
      <c r="D24" s="761">
        <f>CEILING((82+6.5*4)/0.2*0.7*0.617,1)</f>
        <v>234</v>
      </c>
      <c r="E24" s="760"/>
      <c r="F24" s="981">
        <f>E24*D24</f>
        <v>0</v>
      </c>
    </row>
    <row r="25" spans="1:6" s="15" customFormat="1">
      <c r="A25" s="758" t="s">
        <v>521</v>
      </c>
      <c r="B25" s="762" t="s">
        <v>973</v>
      </c>
      <c r="C25" s="760" t="s">
        <v>102</v>
      </c>
      <c r="D25" s="761">
        <f>CEILING(27*1.1*10*0.888,1)+CEILING(27*4*2*0.888,1)</f>
        <v>456</v>
      </c>
      <c r="E25" s="760"/>
      <c r="F25" s="981">
        <f>E25*D25</f>
        <v>0</v>
      </c>
    </row>
    <row r="26" spans="1:6" ht="28.8">
      <c r="A26" s="758" t="s">
        <v>330</v>
      </c>
      <c r="B26" s="16" t="s">
        <v>294</v>
      </c>
      <c r="C26" s="13" t="s">
        <v>278</v>
      </c>
      <c r="D26" s="13">
        <f>D19</f>
        <v>224</v>
      </c>
      <c r="E26" s="33"/>
      <c r="F26" s="979">
        <f>D26*E26</f>
        <v>0</v>
      </c>
    </row>
    <row r="27" spans="1:6">
      <c r="A27" s="358"/>
      <c r="B27" s="19" t="s">
        <v>295</v>
      </c>
      <c r="C27" s="12"/>
      <c r="D27" s="13"/>
      <c r="E27" s="33"/>
      <c r="F27" s="979"/>
    </row>
    <row r="28" spans="1:6" ht="28.8">
      <c r="A28" s="358"/>
      <c r="B28" s="34" t="s">
        <v>153</v>
      </c>
      <c r="C28" s="12"/>
      <c r="D28" s="13"/>
      <c r="E28" s="33"/>
      <c r="F28" s="979">
        <f>D28*E28</f>
        <v>0</v>
      </c>
    </row>
    <row r="29" spans="1:6" ht="16.2">
      <c r="A29" s="358" t="s">
        <v>521</v>
      </c>
      <c r="B29" s="16" t="s">
        <v>296</v>
      </c>
      <c r="C29" s="13" t="s">
        <v>482</v>
      </c>
      <c r="D29" s="13">
        <f>CEILING(D19*0.15,1)</f>
        <v>34</v>
      </c>
      <c r="E29" s="33"/>
      <c r="F29" s="979">
        <f>D29*E29</f>
        <v>0</v>
      </c>
    </row>
    <row r="30" spans="1:6" s="472" customFormat="1">
      <c r="A30" s="358" t="s">
        <v>1125</v>
      </c>
      <c r="B30" s="763" t="s">
        <v>980</v>
      </c>
      <c r="C30" s="756" t="s">
        <v>982</v>
      </c>
      <c r="D30" s="237">
        <f>CEILING((82+6.5*4)*0.2*0.6,1)</f>
        <v>13</v>
      </c>
      <c r="E30" s="757"/>
      <c r="F30" s="979">
        <f t="shared" ref="F30:F31" si="3">D30*E30</f>
        <v>0</v>
      </c>
    </row>
    <row r="31" spans="1:6" s="472" customFormat="1">
      <c r="A31" s="358" t="s">
        <v>1126</v>
      </c>
      <c r="B31" s="763" t="s">
        <v>983</v>
      </c>
      <c r="C31" s="756" t="s">
        <v>982</v>
      </c>
      <c r="D31" s="237">
        <f>CEILING((82+6.5*4)*0.4*0.2,1)</f>
        <v>9</v>
      </c>
      <c r="E31" s="757"/>
      <c r="F31" s="979">
        <f t="shared" si="3"/>
        <v>0</v>
      </c>
    </row>
    <row r="32" spans="1:6">
      <c r="A32" s="358"/>
      <c r="B32" s="16"/>
      <c r="C32" s="13"/>
      <c r="D32" s="58"/>
      <c r="E32" s="33"/>
      <c r="F32" s="1012"/>
    </row>
    <row r="33" spans="1:8">
      <c r="A33" s="358"/>
      <c r="B33" s="19" t="s">
        <v>460</v>
      </c>
      <c r="C33" s="20"/>
      <c r="D33" s="20"/>
      <c r="E33" s="35"/>
      <c r="F33" s="983">
        <f>SUM(F4:F32)</f>
        <v>0</v>
      </c>
    </row>
    <row r="34" spans="1:8" s="114" customFormat="1">
      <c r="A34" s="105" t="s">
        <v>82</v>
      </c>
      <c r="B34" s="106" t="s">
        <v>7</v>
      </c>
      <c r="C34" s="107" t="s">
        <v>141</v>
      </c>
      <c r="D34" s="108" t="s">
        <v>142</v>
      </c>
      <c r="E34" s="109" t="s">
        <v>143</v>
      </c>
      <c r="F34" s="1013" t="s">
        <v>289</v>
      </c>
      <c r="G34" s="113"/>
    </row>
    <row r="35" spans="1:8" s="79" customFormat="1">
      <c r="A35" s="362"/>
      <c r="B35" s="16"/>
      <c r="C35" s="13"/>
      <c r="D35" s="13"/>
      <c r="E35" s="33"/>
      <c r="F35" s="979"/>
      <c r="G35" s="78"/>
    </row>
    <row r="36" spans="1:8" s="787" customFormat="1">
      <c r="A36" s="774">
        <v>3.2</v>
      </c>
      <c r="B36" s="782" t="s">
        <v>1039</v>
      </c>
      <c r="C36" s="783"/>
      <c r="D36" s="784"/>
      <c r="E36" s="785"/>
      <c r="F36" s="985"/>
      <c r="G36" s="786"/>
    </row>
    <row r="37" spans="1:8" s="787" customFormat="1">
      <c r="A37" s="781"/>
      <c r="B37" s="788"/>
      <c r="C37" s="783"/>
      <c r="D37" s="784"/>
      <c r="E37" s="785"/>
      <c r="F37" s="985"/>
      <c r="G37" s="786"/>
    </row>
    <row r="38" spans="1:8" s="15" customFormat="1">
      <c r="A38" s="758"/>
      <c r="B38" s="759" t="s">
        <v>984</v>
      </c>
      <c r="C38" s="760"/>
      <c r="D38" s="761"/>
      <c r="E38" s="760"/>
      <c r="F38" s="981"/>
    </row>
    <row r="39" spans="1:8" s="792" customFormat="1">
      <c r="A39" s="789" t="s">
        <v>1127</v>
      </c>
      <c r="B39" s="16" t="s">
        <v>998</v>
      </c>
      <c r="C39" s="791" t="s">
        <v>97</v>
      </c>
      <c r="D39" s="237">
        <f>CEILING((82+6.5*4)*0.4*0.4,1)</f>
        <v>18</v>
      </c>
      <c r="E39" s="791"/>
      <c r="F39" s="986">
        <f>E39*D39</f>
        <v>0</v>
      </c>
      <c r="H39" s="792">
        <f>(174.3*0.4*0.45)+(92.15*0.4*0.45)</f>
        <v>47.961000000000013</v>
      </c>
    </row>
    <row r="40" spans="1:8" s="792" customFormat="1" ht="16.2">
      <c r="A40" s="956"/>
      <c r="B40" s="16" t="s">
        <v>1197</v>
      </c>
      <c r="C40" s="13" t="s">
        <v>482</v>
      </c>
      <c r="D40" s="13">
        <f>CEILING(237.2*0.15,1)</f>
        <v>36</v>
      </c>
      <c r="E40" s="791"/>
      <c r="F40" s="979">
        <f>D40*E40</f>
        <v>0</v>
      </c>
    </row>
    <row r="41" spans="1:8" s="893" customFormat="1">
      <c r="A41" s="964"/>
      <c r="B41" s="958" t="s">
        <v>1205</v>
      </c>
      <c r="C41" s="892" t="s">
        <v>97</v>
      </c>
      <c r="D41" s="32">
        <f>CEILING(27*0.2*0.4*3.3,1)</f>
        <v>8</v>
      </c>
      <c r="E41" s="791"/>
      <c r="F41" s="987">
        <f>D41*E41</f>
        <v>0</v>
      </c>
    </row>
    <row r="42" spans="1:8" s="792" customFormat="1">
      <c r="A42" s="956"/>
      <c r="B42" s="958"/>
      <c r="C42" s="957"/>
      <c r="D42" s="957"/>
      <c r="E42" s="959"/>
      <c r="F42" s="1014"/>
    </row>
    <row r="43" spans="1:8" s="792" customFormat="1">
      <c r="A43" s="956"/>
      <c r="B43" s="958"/>
      <c r="C43" s="957"/>
      <c r="D43" s="957"/>
      <c r="E43" s="959"/>
      <c r="F43" s="1014"/>
    </row>
    <row r="44" spans="1:8" s="15" customFormat="1" ht="17.399999999999999" customHeight="1">
      <c r="A44" s="758"/>
      <c r="B44" s="759" t="s">
        <v>377</v>
      </c>
      <c r="C44" s="760"/>
      <c r="D44" s="761"/>
      <c r="E44" s="760"/>
      <c r="F44" s="981"/>
    </row>
    <row r="45" spans="1:8" s="15" customFormat="1">
      <c r="A45" s="758"/>
      <c r="B45" s="759" t="s">
        <v>378</v>
      </c>
      <c r="C45" s="760"/>
      <c r="D45" s="761"/>
      <c r="E45" s="760"/>
      <c r="F45" s="981"/>
    </row>
    <row r="46" spans="1:8" s="15" customFormat="1">
      <c r="A46" s="758" t="s">
        <v>1128</v>
      </c>
      <c r="B46" s="762" t="s">
        <v>1194</v>
      </c>
      <c r="C46" s="760" t="s">
        <v>102</v>
      </c>
      <c r="D46" s="237">
        <v>513</v>
      </c>
      <c r="E46" s="760"/>
      <c r="F46" s="981">
        <f>E46*D46</f>
        <v>0</v>
      </c>
      <c r="G46" s="15">
        <f>D46*110</f>
        <v>56430</v>
      </c>
    </row>
    <row r="47" spans="1:8" s="15" customFormat="1">
      <c r="A47" s="758" t="s">
        <v>1129</v>
      </c>
      <c r="B47" s="762" t="s">
        <v>986</v>
      </c>
      <c r="C47" s="760" t="s">
        <v>102</v>
      </c>
      <c r="D47" s="761">
        <f>266+4145</f>
        <v>4411</v>
      </c>
      <c r="E47" s="760"/>
      <c r="F47" s="981">
        <f>E47*D47</f>
        <v>0</v>
      </c>
    </row>
    <row r="48" spans="1:8" s="15" customFormat="1">
      <c r="A48" s="870"/>
      <c r="B48" s="762" t="s">
        <v>1195</v>
      </c>
      <c r="C48" s="760" t="s">
        <v>102</v>
      </c>
      <c r="D48" s="761">
        <v>617</v>
      </c>
      <c r="E48" s="760"/>
      <c r="F48" s="981">
        <f>E48*D48</f>
        <v>0</v>
      </c>
    </row>
    <row r="49" spans="1:6" s="15" customFormat="1">
      <c r="A49" s="758"/>
      <c r="B49" s="796" t="s">
        <v>987</v>
      </c>
      <c r="C49" s="760"/>
      <c r="D49" s="761"/>
      <c r="E49" s="760"/>
      <c r="F49" s="981"/>
    </row>
    <row r="50" spans="1:6" s="15" customFormat="1">
      <c r="A50" s="758" t="s">
        <v>1130</v>
      </c>
      <c r="B50" s="762" t="s">
        <v>988</v>
      </c>
      <c r="C50" s="760" t="s">
        <v>2</v>
      </c>
      <c r="D50" s="13">
        <f>CEILING((82+6.5*4)*0.4*3,1)</f>
        <v>130</v>
      </c>
      <c r="E50" s="760"/>
      <c r="F50" s="981">
        <f>D50*E50</f>
        <v>0</v>
      </c>
    </row>
    <row r="51" spans="1:6" s="797" customFormat="1">
      <c r="A51" s="793"/>
      <c r="B51" s="793" t="s">
        <v>989</v>
      </c>
      <c r="C51" s="794"/>
      <c r="D51" s="795"/>
      <c r="E51" s="794"/>
      <c r="F51" s="988">
        <f>SUM(F36:F50)</f>
        <v>0</v>
      </c>
    </row>
    <row r="52" spans="1:6" s="797" customFormat="1">
      <c r="A52" s="725"/>
      <c r="B52" s="725"/>
      <c r="C52" s="798"/>
      <c r="D52" s="799"/>
      <c r="E52" s="798"/>
      <c r="F52" s="989"/>
    </row>
    <row r="53" spans="1:6" s="15" customFormat="1">
      <c r="A53" s="883">
        <v>3.3</v>
      </c>
      <c r="B53" s="796" t="s">
        <v>1072</v>
      </c>
      <c r="C53" s="760"/>
      <c r="D53" s="761"/>
      <c r="E53" s="760"/>
      <c r="F53" s="981"/>
    </row>
    <row r="54" spans="1:6" s="15" customFormat="1">
      <c r="A54" s="758"/>
      <c r="B54" s="759"/>
      <c r="C54" s="760"/>
      <c r="D54" s="761"/>
      <c r="E54" s="760"/>
      <c r="F54" s="981"/>
    </row>
    <row r="55" spans="1:6" s="15" customFormat="1" ht="43.2">
      <c r="A55" s="758"/>
      <c r="B55" s="800" t="s">
        <v>1190</v>
      </c>
      <c r="C55" s="760"/>
      <c r="D55" s="761"/>
      <c r="E55" s="760"/>
      <c r="F55" s="981"/>
    </row>
    <row r="56" spans="1:6" s="15" customFormat="1">
      <c r="A56" s="758"/>
      <c r="B56" s="759"/>
      <c r="C56" s="760"/>
      <c r="D56" s="761"/>
      <c r="E56" s="760"/>
      <c r="F56" s="981"/>
    </row>
    <row r="57" spans="1:6" s="15" customFormat="1" ht="28.8">
      <c r="A57" s="758" t="s">
        <v>339</v>
      </c>
      <c r="B57" s="762" t="s">
        <v>1191</v>
      </c>
      <c r="C57" s="760" t="s">
        <v>2</v>
      </c>
      <c r="D57" s="801">
        <f>CEILING(84.2*3,1)</f>
        <v>253</v>
      </c>
      <c r="E57" s="760"/>
      <c r="F57" s="981">
        <f>E57*D57</f>
        <v>0</v>
      </c>
    </row>
    <row r="58" spans="1:6" s="15" customFormat="1">
      <c r="A58" s="758" t="s">
        <v>340</v>
      </c>
      <c r="B58" s="762" t="s">
        <v>992</v>
      </c>
      <c r="C58" s="760" t="s">
        <v>2</v>
      </c>
      <c r="D58" s="801">
        <f>CEILING((6.5*5)*3,1)</f>
        <v>98</v>
      </c>
      <c r="E58" s="760"/>
      <c r="F58" s="981">
        <f>E58*D58</f>
        <v>0</v>
      </c>
    </row>
    <row r="59" spans="1:6" s="15" customFormat="1">
      <c r="A59" s="758" t="s">
        <v>516</v>
      </c>
      <c r="B59" s="759" t="s">
        <v>994</v>
      </c>
      <c r="C59" s="760"/>
      <c r="D59" s="761"/>
      <c r="E59" s="760"/>
      <c r="F59" s="981"/>
    </row>
    <row r="60" spans="1:6" s="15" customFormat="1">
      <c r="A60" s="758" t="s">
        <v>516</v>
      </c>
      <c r="B60" s="762" t="s">
        <v>1196</v>
      </c>
      <c r="C60" s="760" t="s">
        <v>3</v>
      </c>
      <c r="D60" s="801">
        <f>CEILING(84.2,1)</f>
        <v>85</v>
      </c>
      <c r="E60" s="760"/>
      <c r="F60" s="981">
        <f>E60*D60</f>
        <v>0</v>
      </c>
    </row>
    <row r="61" spans="1:6" s="15" customFormat="1">
      <c r="A61" s="758" t="s">
        <v>517</v>
      </c>
      <c r="B61" s="762" t="s">
        <v>996</v>
      </c>
      <c r="C61" s="760" t="s">
        <v>3</v>
      </c>
      <c r="D61" s="801">
        <f>CEILING(6.5*5,1)</f>
        <v>33</v>
      </c>
      <c r="E61" s="760"/>
      <c r="F61" s="981">
        <f>E61*D61</f>
        <v>0</v>
      </c>
    </row>
    <row r="62" spans="1:6" s="15" customFormat="1">
      <c r="A62" s="870"/>
      <c r="B62" s="872"/>
      <c r="C62" s="868"/>
      <c r="D62" s="955"/>
      <c r="E62" s="868"/>
      <c r="F62" s="999"/>
    </row>
    <row r="63" spans="1:6" s="15" customFormat="1">
      <c r="A63" s="870"/>
      <c r="B63" s="872"/>
      <c r="C63" s="868"/>
      <c r="D63" s="955"/>
      <c r="E63" s="868"/>
      <c r="F63" s="999"/>
    </row>
    <row r="64" spans="1:6" s="15" customFormat="1" ht="28.8">
      <c r="A64" s="758"/>
      <c r="B64" s="793" t="s">
        <v>997</v>
      </c>
      <c r="C64" s="794"/>
      <c r="D64" s="761"/>
      <c r="E64" s="760"/>
      <c r="F64" s="988">
        <f>SUM(F54:F61)</f>
        <v>0</v>
      </c>
    </row>
    <row r="65" spans="1:198" s="52" customFormat="1">
      <c r="A65" s="363"/>
      <c r="B65" s="16"/>
      <c r="C65" s="13"/>
      <c r="D65" s="13"/>
      <c r="E65" s="33"/>
      <c r="F65" s="979"/>
      <c r="G65" s="77"/>
    </row>
    <row r="66" spans="1:198" s="119" customFormat="1" ht="15.6">
      <c r="A66" s="365">
        <v>3.4</v>
      </c>
      <c r="B66" s="124" t="s">
        <v>1188</v>
      </c>
      <c r="C66" s="121"/>
      <c r="D66" s="121"/>
      <c r="E66" s="116"/>
      <c r="F66" s="1015"/>
      <c r="G66" s="117"/>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X66" s="118"/>
      <c r="FY66" s="118"/>
      <c r="FZ66" s="118"/>
      <c r="GA66" s="118"/>
      <c r="GB66" s="118"/>
      <c r="GC66" s="118"/>
      <c r="GD66" s="118"/>
      <c r="GE66" s="118"/>
      <c r="GF66" s="118"/>
      <c r="GG66" s="118"/>
      <c r="GH66" s="118"/>
      <c r="GI66" s="118"/>
      <c r="GJ66" s="118"/>
      <c r="GK66" s="118"/>
      <c r="GL66" s="118"/>
      <c r="GM66" s="118"/>
      <c r="GN66" s="118"/>
      <c r="GO66" s="118"/>
      <c r="GP66" s="118"/>
    </row>
    <row r="67" spans="1:198" s="133" customFormat="1" ht="31.2">
      <c r="A67" s="367" t="s">
        <v>5</v>
      </c>
      <c r="B67" s="120" t="s">
        <v>413</v>
      </c>
      <c r="C67" s="131" t="s">
        <v>5</v>
      </c>
      <c r="D67" s="131"/>
      <c r="E67" s="131"/>
      <c r="F67" s="1016"/>
      <c r="G67" s="132"/>
    </row>
    <row r="68" spans="1:198" s="119" customFormat="1" ht="31.2">
      <c r="A68" s="366" t="s">
        <v>1131</v>
      </c>
      <c r="B68" s="122" t="s">
        <v>414</v>
      </c>
      <c r="C68" s="121" t="s">
        <v>2</v>
      </c>
      <c r="D68" s="123">
        <f>CEILING(266*1.15,1)</f>
        <v>306</v>
      </c>
      <c r="E68" s="116"/>
      <c r="F68" s="1015">
        <f>D68*E68</f>
        <v>0</v>
      </c>
      <c r="G68" s="117"/>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c r="EO68" s="118"/>
      <c r="EP68" s="118"/>
      <c r="EQ68" s="118"/>
      <c r="ER68" s="118"/>
      <c r="ES68" s="118"/>
      <c r="ET68" s="118"/>
      <c r="EU68" s="118"/>
      <c r="EV68" s="118"/>
      <c r="EW68" s="118"/>
      <c r="EX68" s="118"/>
      <c r="EY68" s="118"/>
      <c r="EZ68" s="118"/>
      <c r="FA68" s="118"/>
      <c r="FB68" s="118"/>
      <c r="FC68" s="118"/>
      <c r="FD68" s="118"/>
      <c r="FE68" s="118"/>
      <c r="FF68" s="118"/>
      <c r="FG68" s="118"/>
      <c r="FH68" s="118"/>
      <c r="FI68" s="118"/>
      <c r="FJ68" s="118"/>
      <c r="FK68" s="118"/>
      <c r="FL68" s="118"/>
      <c r="FM68" s="118"/>
      <c r="FN68" s="118"/>
      <c r="FO68" s="118"/>
      <c r="FP68" s="118"/>
      <c r="FQ68" s="118"/>
      <c r="FR68" s="118"/>
      <c r="FS68" s="118"/>
      <c r="FT68" s="118"/>
      <c r="FU68" s="118"/>
      <c r="FV68" s="118"/>
      <c r="FW68" s="118"/>
      <c r="FX68" s="118"/>
      <c r="FY68" s="118"/>
      <c r="FZ68" s="118"/>
      <c r="GA68" s="118"/>
      <c r="GB68" s="118"/>
      <c r="GC68" s="118"/>
      <c r="GD68" s="118"/>
      <c r="GE68" s="118"/>
      <c r="GF68" s="118"/>
      <c r="GG68" s="118"/>
      <c r="GH68" s="118"/>
      <c r="GI68" s="118"/>
      <c r="GJ68" s="118"/>
      <c r="GK68" s="118"/>
      <c r="GL68" s="118"/>
      <c r="GM68" s="118"/>
      <c r="GN68" s="118"/>
      <c r="GO68" s="118"/>
      <c r="GP68" s="118"/>
    </row>
    <row r="69" spans="1:198" s="133" customFormat="1" ht="15.6">
      <c r="A69" s="366" t="s">
        <v>1132</v>
      </c>
      <c r="B69" s="131" t="s">
        <v>488</v>
      </c>
      <c r="C69" s="131" t="s">
        <v>3</v>
      </c>
      <c r="D69" s="131">
        <f>CEILING(15.3*25,1)</f>
        <v>383</v>
      </c>
      <c r="E69" s="131"/>
      <c r="F69" s="1015">
        <f t="shared" ref="F69:F74" si="4">D69*E69</f>
        <v>0</v>
      </c>
      <c r="G69" s="132"/>
    </row>
    <row r="70" spans="1:198" s="133" customFormat="1" ht="15.6">
      <c r="A70" s="366" t="s">
        <v>1133</v>
      </c>
      <c r="B70" s="131" t="s">
        <v>487</v>
      </c>
      <c r="C70" s="131" t="s">
        <v>3</v>
      </c>
      <c r="D70" s="131">
        <f>CEILING(9.6*25,1)</f>
        <v>240</v>
      </c>
      <c r="E70" s="131"/>
      <c r="F70" s="1015">
        <f t="shared" si="4"/>
        <v>0</v>
      </c>
      <c r="G70" s="132"/>
    </row>
    <row r="71" spans="1:198" s="133" customFormat="1" ht="15.6">
      <c r="A71" s="366" t="s">
        <v>1134</v>
      </c>
      <c r="B71" s="131" t="s">
        <v>138</v>
      </c>
      <c r="C71" s="131" t="s">
        <v>3</v>
      </c>
      <c r="D71" s="131">
        <f>CEILING(35.3*8,1)</f>
        <v>283</v>
      </c>
      <c r="E71" s="131"/>
      <c r="F71" s="1015">
        <f t="shared" si="4"/>
        <v>0</v>
      </c>
      <c r="G71" s="132"/>
    </row>
    <row r="72" spans="1:198" s="133" customFormat="1" ht="15.6">
      <c r="A72" s="366" t="s">
        <v>1135</v>
      </c>
      <c r="B72" s="131" t="s">
        <v>159</v>
      </c>
      <c r="C72" s="131" t="s">
        <v>3</v>
      </c>
      <c r="D72" s="131">
        <f>CEILING(35.3*2,1)</f>
        <v>71</v>
      </c>
      <c r="E72" s="131"/>
      <c r="F72" s="1015">
        <f t="shared" si="4"/>
        <v>0</v>
      </c>
      <c r="G72" s="132"/>
    </row>
    <row r="73" spans="1:198" s="133" customFormat="1" ht="15.6">
      <c r="A73" s="366" t="s">
        <v>1136</v>
      </c>
      <c r="B73" s="131" t="s">
        <v>415</v>
      </c>
      <c r="C73" s="131" t="s">
        <v>3</v>
      </c>
      <c r="D73" s="131">
        <f>CEILING(25*3*0.5,1)</f>
        <v>38</v>
      </c>
      <c r="E73" s="131"/>
      <c r="F73" s="1015">
        <f t="shared" si="4"/>
        <v>0</v>
      </c>
      <c r="G73" s="132"/>
    </row>
    <row r="74" spans="1:198" s="133" customFormat="1" ht="15.6">
      <c r="A74" s="366" t="s">
        <v>1137</v>
      </c>
      <c r="B74" s="131" t="s">
        <v>333</v>
      </c>
      <c r="C74" s="131" t="s">
        <v>3</v>
      </c>
      <c r="D74" s="131">
        <v>36</v>
      </c>
      <c r="E74" s="131"/>
      <c r="F74" s="1015">
        <f t="shared" si="4"/>
        <v>0</v>
      </c>
      <c r="G74" s="132"/>
    </row>
    <row r="75" spans="1:198" s="133" customFormat="1" ht="15.6">
      <c r="A75" s="367" t="s">
        <v>5</v>
      </c>
      <c r="B75" s="134" t="s">
        <v>368</v>
      </c>
      <c r="C75" s="131" t="s">
        <v>5</v>
      </c>
      <c r="D75" s="131" t="s">
        <v>5</v>
      </c>
      <c r="E75" s="131"/>
      <c r="F75" s="1017"/>
      <c r="G75" s="132"/>
    </row>
    <row r="76" spans="1:198" s="133" customFormat="1" ht="15.6">
      <c r="A76" s="367" t="s">
        <v>1138</v>
      </c>
      <c r="B76" s="131" t="s">
        <v>369</v>
      </c>
      <c r="C76" s="131" t="s">
        <v>5</v>
      </c>
      <c r="D76" s="131" t="s">
        <v>5</v>
      </c>
      <c r="E76" s="131"/>
      <c r="F76" s="1017"/>
      <c r="G76" s="132"/>
    </row>
    <row r="77" spans="1:198" s="133" customFormat="1" ht="15.6">
      <c r="A77" s="367" t="s">
        <v>1139</v>
      </c>
      <c r="B77" s="131" t="s">
        <v>416</v>
      </c>
      <c r="C77" s="131" t="s">
        <v>2</v>
      </c>
      <c r="D77" s="131">
        <f>CEILING(265.508437-223.745937,1)</f>
        <v>42</v>
      </c>
      <c r="E77" s="131"/>
      <c r="F77" s="1017">
        <f t="shared" ref="F77:F109" si="5">E77*D77</f>
        <v>0</v>
      </c>
      <c r="G77" s="132"/>
    </row>
    <row r="78" spans="1:198" s="133" customFormat="1" ht="15.6">
      <c r="A78" s="367" t="s">
        <v>1140</v>
      </c>
      <c r="B78" s="131" t="s">
        <v>370</v>
      </c>
      <c r="C78" s="131" t="s">
        <v>3</v>
      </c>
      <c r="D78" s="131">
        <v>86</v>
      </c>
      <c r="E78" s="131"/>
      <c r="F78" s="1017">
        <f t="shared" si="5"/>
        <v>0</v>
      </c>
      <c r="G78" s="132"/>
    </row>
    <row r="79" spans="1:198" s="133" customFormat="1" ht="15.6">
      <c r="A79" s="368" t="s">
        <v>5</v>
      </c>
      <c r="B79" s="120" t="s">
        <v>116</v>
      </c>
      <c r="C79" s="131" t="s">
        <v>5</v>
      </c>
      <c r="D79" s="131" t="s">
        <v>5</v>
      </c>
      <c r="E79" s="131"/>
      <c r="F79" s="1017"/>
      <c r="G79" s="132"/>
    </row>
    <row r="80" spans="1:198" s="133" customFormat="1" ht="31.2">
      <c r="A80" s="368" t="s">
        <v>1141</v>
      </c>
      <c r="B80" s="131" t="s">
        <v>417</v>
      </c>
      <c r="C80" s="131" t="s">
        <v>2</v>
      </c>
      <c r="D80" s="131">
        <f>D77</f>
        <v>42</v>
      </c>
      <c r="E80" s="131"/>
      <c r="F80" s="1017">
        <f t="shared" si="5"/>
        <v>0</v>
      </c>
      <c r="G80" s="132"/>
    </row>
    <row r="81" spans="1:198" s="133" customFormat="1" ht="31.2">
      <c r="A81" s="368" t="s">
        <v>1142</v>
      </c>
      <c r="B81" s="131" t="s">
        <v>371</v>
      </c>
      <c r="C81" s="131" t="s">
        <v>3</v>
      </c>
      <c r="D81" s="131">
        <f>D78</f>
        <v>86</v>
      </c>
      <c r="E81" s="131"/>
      <c r="F81" s="1017">
        <f t="shared" si="5"/>
        <v>0</v>
      </c>
      <c r="G81" s="132"/>
    </row>
    <row r="82" spans="1:198" s="133" customFormat="1" ht="15.6">
      <c r="A82" s="368" t="s">
        <v>5</v>
      </c>
      <c r="B82" s="134" t="s">
        <v>334</v>
      </c>
      <c r="C82" s="131" t="s">
        <v>5</v>
      </c>
      <c r="D82" s="131" t="s">
        <v>5</v>
      </c>
      <c r="E82" s="131"/>
      <c r="F82" s="1017"/>
      <c r="G82" s="132"/>
    </row>
    <row r="83" spans="1:198" s="133" customFormat="1" ht="31.2">
      <c r="A83" s="368" t="s">
        <v>1142</v>
      </c>
      <c r="B83" s="131" t="s">
        <v>418</v>
      </c>
      <c r="C83" s="131" t="s">
        <v>3</v>
      </c>
      <c r="D83" s="131">
        <f>D81</f>
        <v>86</v>
      </c>
      <c r="E83" s="131"/>
      <c r="F83" s="1017">
        <f t="shared" si="5"/>
        <v>0</v>
      </c>
      <c r="G83" s="132"/>
    </row>
    <row r="84" spans="1:198" s="133" customFormat="1" ht="15.6">
      <c r="A84" s="367" t="s">
        <v>5</v>
      </c>
      <c r="B84" s="134" t="s">
        <v>304</v>
      </c>
      <c r="C84" s="131" t="s">
        <v>5</v>
      </c>
      <c r="D84" s="131" t="s">
        <v>5</v>
      </c>
      <c r="E84" s="131"/>
      <c r="F84" s="1017"/>
      <c r="G84" s="132"/>
    </row>
    <row r="85" spans="1:198" s="133" customFormat="1" ht="31.2">
      <c r="A85" s="367" t="s">
        <v>1143</v>
      </c>
      <c r="B85" s="131" t="s">
        <v>160</v>
      </c>
      <c r="C85" s="131" t="s">
        <v>3</v>
      </c>
      <c r="D85" s="131">
        <f>8*3</f>
        <v>24</v>
      </c>
      <c r="E85" s="131"/>
      <c r="F85" s="1017">
        <f t="shared" si="5"/>
        <v>0</v>
      </c>
      <c r="G85" s="132"/>
    </row>
    <row r="86" spans="1:198" s="133" customFormat="1" ht="15.6">
      <c r="A86" s="367" t="s">
        <v>1144</v>
      </c>
      <c r="B86" s="131" t="s">
        <v>335</v>
      </c>
      <c r="C86" s="131" t="s">
        <v>118</v>
      </c>
      <c r="D86" s="131">
        <v>8</v>
      </c>
      <c r="E86" s="131"/>
      <c r="F86" s="1017">
        <f t="shared" si="5"/>
        <v>0</v>
      </c>
      <c r="G86" s="132"/>
    </row>
    <row r="87" spans="1:198" s="133" customFormat="1" ht="15.6">
      <c r="A87" s="367" t="s">
        <v>1145</v>
      </c>
      <c r="B87" s="131" t="s">
        <v>336</v>
      </c>
      <c r="C87" s="131" t="s">
        <v>118</v>
      </c>
      <c r="D87" s="131">
        <f>D86</f>
        <v>8</v>
      </c>
      <c r="E87" s="131"/>
      <c r="F87" s="1017">
        <f t="shared" si="5"/>
        <v>0</v>
      </c>
      <c r="G87" s="132"/>
    </row>
    <row r="88" spans="1:198" s="133" customFormat="1" ht="19.8" customHeight="1">
      <c r="A88" s="367" t="s">
        <v>1146</v>
      </c>
      <c r="B88" s="131" t="s">
        <v>337</v>
      </c>
      <c r="C88" s="131" t="s">
        <v>5</v>
      </c>
      <c r="D88" s="131" t="s">
        <v>5</v>
      </c>
      <c r="E88" s="131"/>
      <c r="F88" s="1017"/>
      <c r="G88" s="132"/>
    </row>
    <row r="89" spans="1:198" s="133" customFormat="1" ht="15.6">
      <c r="A89" s="367" t="s">
        <v>1147</v>
      </c>
      <c r="B89" s="131" t="s">
        <v>338</v>
      </c>
      <c r="C89" s="131" t="s">
        <v>3</v>
      </c>
      <c r="D89" s="131">
        <f>D83</f>
        <v>86</v>
      </c>
      <c r="E89" s="131"/>
      <c r="F89" s="1017">
        <f t="shared" si="5"/>
        <v>0</v>
      </c>
      <c r="G89" s="132"/>
    </row>
    <row r="90" spans="1:198" s="133" customFormat="1" ht="15.6">
      <c r="A90" s="367" t="s">
        <v>1148</v>
      </c>
      <c r="B90" s="131" t="s">
        <v>419</v>
      </c>
      <c r="C90" s="131" t="s">
        <v>3</v>
      </c>
      <c r="D90" s="131">
        <f>D89</f>
        <v>86</v>
      </c>
      <c r="E90" s="131"/>
      <c r="F90" s="1017">
        <f t="shared" si="5"/>
        <v>0</v>
      </c>
      <c r="G90" s="132"/>
    </row>
    <row r="91" spans="1:198" s="145" customFormat="1" ht="15.6">
      <c r="A91" s="369"/>
      <c r="B91" s="134" t="s">
        <v>1149</v>
      </c>
      <c r="C91" s="134"/>
      <c r="D91" s="134"/>
      <c r="E91" s="134"/>
      <c r="F91" s="1018">
        <f>SUM(F67:F90)</f>
        <v>0</v>
      </c>
      <c r="G91" s="144"/>
    </row>
    <row r="92" spans="1:198" s="472" customFormat="1">
      <c r="A92" s="59" t="s">
        <v>82</v>
      </c>
      <c r="B92" s="38" t="s">
        <v>7</v>
      </c>
      <c r="C92" s="37" t="s">
        <v>141</v>
      </c>
      <c r="D92" s="56" t="s">
        <v>142</v>
      </c>
      <c r="E92" s="57" t="s">
        <v>143</v>
      </c>
      <c r="F92" s="977" t="s">
        <v>289</v>
      </c>
    </row>
    <row r="93" spans="1:198" s="119" customFormat="1" ht="15.6">
      <c r="A93" s="932">
        <v>3.5</v>
      </c>
      <c r="B93" s="124" t="s">
        <v>1083</v>
      </c>
      <c r="C93" s="126"/>
      <c r="D93" s="126"/>
      <c r="E93" s="130"/>
      <c r="F93" s="1017">
        <f t="shared" si="5"/>
        <v>0</v>
      </c>
      <c r="G93" s="117"/>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8"/>
      <c r="BC93" s="118"/>
      <c r="BD93" s="118"/>
      <c r="BE93" s="118"/>
      <c r="BF93" s="118"/>
      <c r="BG93" s="118"/>
      <c r="BH93" s="118"/>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CY93" s="118"/>
      <c r="CZ93" s="118"/>
      <c r="DA93" s="118"/>
      <c r="DB93" s="118"/>
      <c r="DC93" s="118"/>
      <c r="DD93" s="118"/>
      <c r="DE93" s="118"/>
      <c r="DF93" s="118"/>
      <c r="DG93" s="118"/>
      <c r="DH93" s="118"/>
      <c r="DI93" s="118"/>
      <c r="DJ93" s="118"/>
      <c r="DK93" s="118"/>
      <c r="DL93" s="118"/>
      <c r="DM93" s="118"/>
      <c r="DN93" s="118"/>
      <c r="DO93" s="118"/>
      <c r="DP93" s="118"/>
      <c r="DQ93" s="118"/>
      <c r="DR93" s="118"/>
      <c r="DS93" s="118"/>
      <c r="DT93" s="118"/>
      <c r="DU93" s="118"/>
      <c r="DV93" s="118"/>
      <c r="DW93" s="118"/>
      <c r="DX93" s="118"/>
      <c r="DY93" s="118"/>
      <c r="DZ93" s="118"/>
      <c r="EA93" s="118"/>
      <c r="EB93" s="118"/>
      <c r="EC93" s="118"/>
      <c r="ED93" s="118"/>
      <c r="EE93" s="118"/>
      <c r="EF93" s="118"/>
      <c r="EG93" s="118"/>
      <c r="EH93" s="118"/>
      <c r="EI93" s="118"/>
      <c r="EJ93" s="118"/>
      <c r="EK93" s="118"/>
      <c r="EL93" s="118"/>
      <c r="EM93" s="118"/>
      <c r="EN93" s="118"/>
      <c r="EO93" s="118"/>
      <c r="EP93" s="118"/>
      <c r="EQ93" s="118"/>
      <c r="ER93" s="118"/>
      <c r="ES93" s="118"/>
      <c r="ET93" s="118"/>
      <c r="EU93" s="118"/>
      <c r="EV93" s="118"/>
      <c r="EW93" s="118"/>
      <c r="EX93" s="118"/>
      <c r="EY93" s="118"/>
      <c r="EZ93" s="118"/>
      <c r="FA93" s="118"/>
      <c r="FB93" s="118"/>
      <c r="FC93" s="118"/>
      <c r="FD93" s="118"/>
      <c r="FE93" s="118"/>
      <c r="FF93" s="118"/>
      <c r="FG93" s="118"/>
      <c r="FH93" s="118"/>
      <c r="FI93" s="118"/>
      <c r="FJ93" s="118"/>
      <c r="FK93" s="118"/>
      <c r="FL93" s="118"/>
      <c r="FM93" s="118"/>
      <c r="FN93" s="118"/>
      <c r="FO93" s="118"/>
      <c r="FP93" s="118"/>
      <c r="FQ93" s="118"/>
      <c r="FR93" s="118"/>
      <c r="FS93" s="118"/>
      <c r="FT93" s="118"/>
      <c r="FU93" s="118"/>
      <c r="FV93" s="118"/>
      <c r="FW93" s="118"/>
      <c r="FX93" s="118"/>
      <c r="FY93" s="118"/>
      <c r="FZ93" s="118"/>
      <c r="GA93" s="118"/>
      <c r="GB93" s="118"/>
      <c r="GC93" s="118"/>
      <c r="GD93" s="118"/>
      <c r="GE93" s="118"/>
      <c r="GF93" s="118"/>
      <c r="GG93" s="118"/>
      <c r="GH93" s="118"/>
      <c r="GI93" s="118"/>
      <c r="GJ93" s="118"/>
      <c r="GK93" s="118"/>
      <c r="GL93" s="118"/>
      <c r="GM93" s="118"/>
      <c r="GN93" s="118"/>
      <c r="GO93" s="118"/>
      <c r="GP93" s="118"/>
    </row>
    <row r="94" spans="1:198" s="119" customFormat="1" ht="31.2">
      <c r="A94" s="371" t="s">
        <v>1150</v>
      </c>
      <c r="B94" s="131" t="s">
        <v>522</v>
      </c>
      <c r="C94" s="136" t="s">
        <v>118</v>
      </c>
      <c r="D94" s="136">
        <v>3</v>
      </c>
      <c r="E94" s="136"/>
      <c r="F94" s="1017">
        <f t="shared" si="5"/>
        <v>0</v>
      </c>
      <c r="G94" s="117"/>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c r="EA94" s="118"/>
      <c r="EB94" s="118"/>
      <c r="EC94" s="118"/>
      <c r="ED94" s="118"/>
      <c r="EE94" s="118"/>
      <c r="EF94" s="118"/>
      <c r="EG94" s="118"/>
      <c r="EH94" s="118"/>
      <c r="EI94" s="118"/>
      <c r="EJ94" s="118"/>
      <c r="EK94" s="118"/>
      <c r="EL94" s="118"/>
      <c r="EM94" s="118"/>
      <c r="EN94" s="118"/>
      <c r="EO94" s="118"/>
      <c r="EP94" s="118"/>
      <c r="EQ94" s="118"/>
      <c r="ER94" s="118"/>
      <c r="ES94" s="118"/>
      <c r="ET94" s="118"/>
      <c r="EU94" s="118"/>
      <c r="EV94" s="118"/>
      <c r="EW94" s="118"/>
      <c r="EX94" s="118"/>
      <c r="EY94" s="118"/>
      <c r="EZ94" s="118"/>
      <c r="FA94" s="118"/>
      <c r="FB94" s="118"/>
      <c r="FC94" s="118"/>
      <c r="FD94" s="118"/>
      <c r="FE94" s="118"/>
      <c r="FF94" s="118"/>
      <c r="FG94" s="118"/>
      <c r="FH94" s="118"/>
      <c r="FI94" s="118"/>
      <c r="FJ94" s="118"/>
      <c r="FK94" s="118"/>
      <c r="FL94" s="118"/>
      <c r="FM94" s="118"/>
      <c r="FN94" s="118"/>
      <c r="FO94" s="118"/>
      <c r="FP94" s="118"/>
      <c r="FQ94" s="118"/>
      <c r="FR94" s="118"/>
      <c r="FS94" s="118"/>
      <c r="FT94" s="118"/>
      <c r="FU94" s="118"/>
      <c r="FV94" s="118"/>
      <c r="FW94" s="118"/>
      <c r="FX94" s="118"/>
      <c r="FY94" s="118"/>
      <c r="FZ94" s="118"/>
      <c r="GA94" s="118"/>
      <c r="GB94" s="118"/>
      <c r="GC94" s="118"/>
      <c r="GD94" s="118"/>
      <c r="GE94" s="118"/>
      <c r="GF94" s="118"/>
      <c r="GG94" s="118"/>
      <c r="GH94" s="118"/>
      <c r="GI94" s="118"/>
      <c r="GJ94" s="118"/>
      <c r="GK94" s="118"/>
      <c r="GL94" s="118"/>
      <c r="GM94" s="118"/>
      <c r="GN94" s="118"/>
      <c r="GO94" s="118"/>
      <c r="GP94" s="118"/>
    </row>
    <row r="95" spans="1:198" s="133" customFormat="1" ht="31.2">
      <c r="A95" s="371" t="s">
        <v>1151</v>
      </c>
      <c r="B95" s="131" t="s">
        <v>523</v>
      </c>
      <c r="C95" s="136" t="s">
        <v>118</v>
      </c>
      <c r="D95" s="136">
        <v>4</v>
      </c>
      <c r="E95" s="136"/>
      <c r="F95" s="1017">
        <f t="shared" si="5"/>
        <v>0</v>
      </c>
      <c r="G95" s="132"/>
    </row>
    <row r="96" spans="1:198" s="133" customFormat="1" ht="31.2">
      <c r="A96" s="371" t="s">
        <v>1152</v>
      </c>
      <c r="B96" s="131" t="s">
        <v>420</v>
      </c>
      <c r="C96" s="136" t="s">
        <v>3</v>
      </c>
      <c r="D96" s="136">
        <f>CEILING(5.1*D94+6*D95,1)</f>
        <v>40</v>
      </c>
      <c r="E96" s="136"/>
      <c r="F96" s="1017">
        <f t="shared" si="5"/>
        <v>0</v>
      </c>
      <c r="G96" s="132"/>
    </row>
    <row r="97" spans="1:198" s="133" customFormat="1" ht="15.6">
      <c r="A97" s="371" t="s">
        <v>1153</v>
      </c>
      <c r="B97" s="131" t="s">
        <v>421</v>
      </c>
      <c r="C97" s="136" t="s">
        <v>3</v>
      </c>
      <c r="D97" s="136">
        <f>D96*2</f>
        <v>80</v>
      </c>
      <c r="E97" s="136"/>
      <c r="F97" s="1017">
        <f t="shared" si="5"/>
        <v>0</v>
      </c>
      <c r="G97" s="132"/>
    </row>
    <row r="98" spans="1:198" s="133" customFormat="1" ht="15.6">
      <c r="A98" s="371" t="s">
        <v>1154</v>
      </c>
      <c r="B98" s="131" t="s">
        <v>422</v>
      </c>
      <c r="C98" s="136" t="s">
        <v>3</v>
      </c>
      <c r="D98" s="136">
        <f>D97</f>
        <v>80</v>
      </c>
      <c r="E98" s="136"/>
      <c r="F98" s="1017">
        <f t="shared" si="5"/>
        <v>0</v>
      </c>
      <c r="G98" s="132"/>
    </row>
    <row r="99" spans="1:198" s="133" customFormat="1" ht="15.6">
      <c r="A99" s="371"/>
      <c r="B99" s="134" t="s">
        <v>423</v>
      </c>
      <c r="C99" s="136" t="s">
        <v>5</v>
      </c>
      <c r="D99" s="136" t="s">
        <v>5</v>
      </c>
      <c r="E99" s="136"/>
      <c r="F99" s="1017"/>
      <c r="G99" s="132"/>
    </row>
    <row r="100" spans="1:198" s="133" customFormat="1" ht="31.2">
      <c r="A100" s="371" t="s">
        <v>1155</v>
      </c>
      <c r="B100" s="131" t="s">
        <v>424</v>
      </c>
      <c r="C100" s="136" t="s">
        <v>5</v>
      </c>
      <c r="D100" s="136" t="s">
        <v>5</v>
      </c>
      <c r="E100" s="136"/>
      <c r="F100" s="1017"/>
      <c r="G100" s="132"/>
    </row>
    <row r="101" spans="1:198" s="133" customFormat="1" ht="15.6">
      <c r="A101" s="371" t="s">
        <v>1156</v>
      </c>
      <c r="B101" s="131" t="s">
        <v>425</v>
      </c>
      <c r="C101" s="136" t="s">
        <v>118</v>
      </c>
      <c r="D101" s="136">
        <f>SUM(D94:D95)</f>
        <v>7</v>
      </c>
      <c r="E101" s="136"/>
      <c r="F101" s="1017">
        <f t="shared" si="5"/>
        <v>0</v>
      </c>
      <c r="G101" s="132"/>
    </row>
    <row r="102" spans="1:198" s="133" customFormat="1" ht="15.6">
      <c r="A102" s="371" t="s">
        <v>1157</v>
      </c>
      <c r="B102" s="388" t="s">
        <v>426</v>
      </c>
      <c r="C102" s="389" t="s">
        <v>427</v>
      </c>
      <c r="D102" s="389">
        <v>16.5</v>
      </c>
      <c r="E102" s="389"/>
      <c r="F102" s="1020">
        <f t="shared" si="5"/>
        <v>0</v>
      </c>
      <c r="G102" s="132"/>
    </row>
    <row r="103" spans="1:198" s="133" customFormat="1" ht="15.6">
      <c r="A103" s="371" t="s">
        <v>1158</v>
      </c>
      <c r="B103" s="131" t="s">
        <v>428</v>
      </c>
      <c r="C103" s="136" t="s">
        <v>118</v>
      </c>
      <c r="D103" s="136">
        <f>D101</f>
        <v>7</v>
      </c>
      <c r="E103" s="136"/>
      <c r="F103" s="1017">
        <f t="shared" si="5"/>
        <v>0</v>
      </c>
      <c r="G103" s="132"/>
    </row>
    <row r="104" spans="1:198" s="133" customFormat="1" ht="15.6">
      <c r="A104" s="371" t="s">
        <v>5</v>
      </c>
      <c r="B104" s="134" t="s">
        <v>429</v>
      </c>
      <c r="C104" s="136" t="s">
        <v>5</v>
      </c>
      <c r="D104" s="136" t="s">
        <v>5</v>
      </c>
      <c r="E104" s="136"/>
      <c r="F104" s="1017"/>
      <c r="G104" s="132"/>
    </row>
    <row r="105" spans="1:198" s="133" customFormat="1" ht="31.2">
      <c r="A105" s="371" t="s">
        <v>1159</v>
      </c>
      <c r="B105" s="131" t="s">
        <v>430</v>
      </c>
      <c r="C105" s="136" t="s">
        <v>140</v>
      </c>
      <c r="D105" s="136" t="s">
        <v>281</v>
      </c>
      <c r="E105" s="136"/>
      <c r="F105" s="1017">
        <f>E105</f>
        <v>0</v>
      </c>
      <c r="G105" s="132"/>
    </row>
    <row r="106" spans="1:198" s="145" customFormat="1" ht="15.6">
      <c r="A106" s="936"/>
      <c r="B106" s="914" t="s">
        <v>1160</v>
      </c>
      <c r="C106" s="937"/>
      <c r="D106" s="937"/>
      <c r="E106" s="937"/>
      <c r="F106" s="1019">
        <f>SUM(F94:F105)</f>
        <v>0</v>
      </c>
      <c r="G106" s="144"/>
    </row>
    <row r="107" spans="1:198" s="133" customFormat="1" ht="15.6">
      <c r="A107" s="933"/>
      <c r="B107" s="908"/>
      <c r="C107" s="934"/>
      <c r="D107" s="934"/>
      <c r="E107" s="934"/>
      <c r="F107" s="1021"/>
      <c r="G107" s="132"/>
    </row>
    <row r="108" spans="1:198" s="129" customFormat="1" ht="15.6">
      <c r="A108" s="365">
        <v>3.6</v>
      </c>
      <c r="B108" s="124" t="s">
        <v>1074</v>
      </c>
      <c r="C108" s="125"/>
      <c r="D108" s="126"/>
      <c r="E108" s="130"/>
      <c r="F108" s="1017"/>
      <c r="G108" s="127"/>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c r="BY108" s="128"/>
      <c r="BZ108" s="128"/>
      <c r="CA108" s="128"/>
      <c r="CB108" s="128"/>
      <c r="CC108" s="128"/>
      <c r="CD108" s="128"/>
      <c r="CE108" s="128"/>
      <c r="CF108" s="128"/>
      <c r="CG108" s="128"/>
      <c r="CH108" s="128"/>
      <c r="CI108" s="128"/>
      <c r="CJ108" s="128"/>
      <c r="CK108" s="128"/>
      <c r="CL108" s="128"/>
      <c r="CM108" s="128"/>
      <c r="CN108" s="128"/>
      <c r="CO108" s="128"/>
      <c r="CP108" s="128"/>
      <c r="CQ108" s="128"/>
      <c r="CR108" s="128"/>
      <c r="CS108" s="128"/>
      <c r="CT108" s="128"/>
      <c r="CU108" s="128"/>
      <c r="CV108" s="128"/>
      <c r="CW108" s="128"/>
      <c r="CX108" s="128"/>
      <c r="CY108" s="128"/>
      <c r="CZ108" s="128"/>
      <c r="DA108" s="128"/>
      <c r="DB108" s="128"/>
      <c r="DC108" s="128"/>
      <c r="DD108" s="128"/>
      <c r="DE108" s="128"/>
      <c r="DF108" s="128"/>
      <c r="DG108" s="128"/>
      <c r="DH108" s="128"/>
      <c r="DI108" s="128"/>
      <c r="DJ108" s="128"/>
      <c r="DK108" s="128"/>
      <c r="DL108" s="128"/>
      <c r="DM108" s="128"/>
      <c r="DN108" s="128"/>
      <c r="DO108" s="128"/>
      <c r="DP108" s="128"/>
      <c r="DQ108" s="128"/>
      <c r="DR108" s="128"/>
      <c r="DS108" s="128"/>
      <c r="DT108" s="128"/>
      <c r="DU108" s="128"/>
      <c r="DV108" s="128"/>
      <c r="DW108" s="128"/>
      <c r="DX108" s="128"/>
      <c r="DY108" s="128"/>
      <c r="DZ108" s="128"/>
      <c r="EA108" s="128"/>
      <c r="EB108" s="128"/>
      <c r="EC108" s="128"/>
      <c r="ED108" s="128"/>
      <c r="EE108" s="128"/>
      <c r="EF108" s="128"/>
      <c r="EG108" s="128"/>
      <c r="EH108" s="128"/>
      <c r="EI108" s="128"/>
      <c r="EJ108" s="128"/>
      <c r="EK108" s="128"/>
      <c r="EL108" s="128"/>
      <c r="EM108" s="128"/>
      <c r="EN108" s="128"/>
      <c r="EO108" s="128"/>
      <c r="EP108" s="128"/>
      <c r="EQ108" s="128"/>
      <c r="ER108" s="128"/>
      <c r="ES108" s="128"/>
      <c r="ET108" s="128"/>
      <c r="EU108" s="128"/>
      <c r="EV108" s="128"/>
      <c r="EW108" s="128"/>
      <c r="EX108" s="128"/>
      <c r="EY108" s="128"/>
      <c r="EZ108" s="128"/>
      <c r="FA108" s="128"/>
      <c r="FB108" s="128"/>
      <c r="FC108" s="128"/>
      <c r="FD108" s="128"/>
      <c r="FE108" s="128"/>
      <c r="FF108" s="128"/>
      <c r="FG108" s="128"/>
      <c r="FH108" s="128"/>
      <c r="FI108" s="128"/>
      <c r="FJ108" s="128"/>
      <c r="FK108" s="128"/>
      <c r="FL108" s="128"/>
      <c r="FM108" s="128"/>
      <c r="FN108" s="128"/>
      <c r="FO108" s="128"/>
      <c r="FP108" s="128"/>
      <c r="FQ108" s="128"/>
      <c r="FR108" s="128"/>
      <c r="FS108" s="128"/>
      <c r="FT108" s="128"/>
      <c r="FU108" s="128"/>
      <c r="FV108" s="128"/>
      <c r="FW108" s="128"/>
      <c r="FX108" s="128"/>
      <c r="FY108" s="128"/>
      <c r="FZ108" s="128"/>
      <c r="GA108" s="128"/>
      <c r="GB108" s="128"/>
      <c r="GC108" s="128"/>
      <c r="GD108" s="128"/>
      <c r="GE108" s="128"/>
      <c r="GF108" s="128"/>
      <c r="GG108" s="128"/>
      <c r="GH108" s="128"/>
      <c r="GI108" s="128"/>
      <c r="GJ108" s="128"/>
      <c r="GK108" s="128"/>
      <c r="GL108" s="128"/>
      <c r="GM108" s="128"/>
      <c r="GN108" s="128"/>
      <c r="GO108" s="128"/>
      <c r="GP108" s="128"/>
    </row>
    <row r="109" spans="1:198" s="119" customFormat="1" ht="31.2">
      <c r="A109" s="366" t="s">
        <v>1172</v>
      </c>
      <c r="B109" s="122" t="s">
        <v>431</v>
      </c>
      <c r="C109" s="121" t="s">
        <v>117</v>
      </c>
      <c r="D109" s="123">
        <v>21</v>
      </c>
      <c r="E109" s="116"/>
      <c r="F109" s="1017">
        <f t="shared" si="5"/>
        <v>0</v>
      </c>
      <c r="G109" s="117"/>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CY109" s="118"/>
      <c r="CZ109" s="118"/>
      <c r="DA109" s="118"/>
      <c r="DB109" s="118"/>
      <c r="DC109" s="118"/>
      <c r="DD109" s="118"/>
      <c r="DE109" s="118"/>
      <c r="DF109" s="118"/>
      <c r="DG109" s="118"/>
      <c r="DH109" s="118"/>
      <c r="DI109" s="118"/>
      <c r="DJ109" s="118"/>
      <c r="DK109" s="118"/>
      <c r="DL109" s="118"/>
      <c r="DM109" s="118"/>
      <c r="DN109" s="118"/>
      <c r="DO109" s="118"/>
      <c r="DP109" s="118"/>
      <c r="DQ109" s="118"/>
      <c r="DR109" s="118"/>
      <c r="DS109" s="118"/>
      <c r="DT109" s="118"/>
      <c r="DU109" s="118"/>
      <c r="DV109" s="118"/>
      <c r="DW109" s="118"/>
      <c r="DX109" s="118"/>
      <c r="DY109" s="118"/>
      <c r="DZ109" s="118"/>
      <c r="EA109" s="118"/>
      <c r="EB109" s="118"/>
      <c r="EC109" s="118"/>
      <c r="ED109" s="118"/>
      <c r="EE109" s="118"/>
      <c r="EF109" s="118"/>
      <c r="EG109" s="118"/>
      <c r="EH109" s="118"/>
      <c r="EI109" s="118"/>
      <c r="EJ109" s="118"/>
      <c r="EK109" s="118"/>
      <c r="EL109" s="118"/>
      <c r="EM109" s="118"/>
      <c r="EN109" s="118"/>
      <c r="EO109" s="118"/>
      <c r="EP109" s="118"/>
      <c r="EQ109" s="118"/>
      <c r="ER109" s="118"/>
      <c r="ES109" s="118"/>
      <c r="ET109" s="118"/>
      <c r="EU109" s="118"/>
      <c r="EV109" s="118"/>
      <c r="EW109" s="118"/>
      <c r="EX109" s="118"/>
      <c r="EY109" s="118"/>
      <c r="EZ109" s="118"/>
      <c r="FA109" s="118"/>
      <c r="FB109" s="118"/>
      <c r="FC109" s="118"/>
      <c r="FD109" s="118"/>
      <c r="FE109" s="118"/>
      <c r="FF109" s="118"/>
      <c r="FG109" s="118"/>
      <c r="FH109" s="118"/>
      <c r="FI109" s="118"/>
      <c r="FJ109" s="118"/>
      <c r="FK109" s="118"/>
      <c r="FL109" s="118"/>
      <c r="FM109" s="118"/>
      <c r="FN109" s="118"/>
      <c r="FO109" s="118"/>
      <c r="FP109" s="118"/>
      <c r="FQ109" s="118"/>
      <c r="FR109" s="118"/>
      <c r="FS109" s="118"/>
      <c r="FT109" s="118"/>
      <c r="FU109" s="118"/>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P109" s="118"/>
    </row>
    <row r="110" spans="1:198" s="129" customFormat="1" ht="15.6">
      <c r="A110" s="939"/>
      <c r="B110" s="940" t="s">
        <v>1161</v>
      </c>
      <c r="C110" s="941"/>
      <c r="D110" s="950"/>
      <c r="E110" s="951"/>
      <c r="F110" s="1022">
        <f>SUM(F109)</f>
        <v>0</v>
      </c>
      <c r="G110" s="127"/>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c r="BT110" s="128"/>
      <c r="BU110" s="128"/>
      <c r="BV110" s="128"/>
      <c r="BW110" s="128"/>
      <c r="BX110" s="128"/>
      <c r="BY110" s="128"/>
      <c r="BZ110" s="128"/>
      <c r="CA110" s="128"/>
      <c r="CB110" s="128"/>
      <c r="CC110" s="128"/>
      <c r="CD110" s="128"/>
      <c r="CE110" s="128"/>
      <c r="CF110" s="128"/>
      <c r="CG110" s="128"/>
      <c r="CH110" s="128"/>
      <c r="CI110" s="128"/>
      <c r="CJ110" s="128"/>
      <c r="CK110" s="128"/>
      <c r="CL110" s="128"/>
      <c r="CM110" s="128"/>
      <c r="CN110" s="128"/>
      <c r="CO110" s="128"/>
      <c r="CP110" s="128"/>
      <c r="CQ110" s="128"/>
      <c r="CR110" s="128"/>
      <c r="CS110" s="128"/>
      <c r="CT110" s="128"/>
      <c r="CU110" s="128"/>
      <c r="CV110" s="128"/>
      <c r="CW110" s="128"/>
      <c r="CX110" s="128"/>
      <c r="CY110" s="128"/>
      <c r="CZ110" s="128"/>
      <c r="DA110" s="128"/>
      <c r="DB110" s="128"/>
      <c r="DC110" s="128"/>
      <c r="DD110" s="128"/>
      <c r="DE110" s="128"/>
      <c r="DF110" s="128"/>
      <c r="DG110" s="128"/>
      <c r="DH110" s="128"/>
      <c r="DI110" s="128"/>
      <c r="DJ110" s="128"/>
      <c r="DK110" s="128"/>
      <c r="DL110" s="128"/>
      <c r="DM110" s="128"/>
      <c r="DN110" s="128"/>
      <c r="DO110" s="128"/>
      <c r="DP110" s="128"/>
      <c r="DQ110" s="128"/>
      <c r="DR110" s="128"/>
      <c r="DS110" s="128"/>
      <c r="DT110" s="128"/>
      <c r="DU110" s="128"/>
      <c r="DV110" s="128"/>
      <c r="DW110" s="128"/>
      <c r="DX110" s="128"/>
      <c r="DY110" s="128"/>
      <c r="DZ110" s="128"/>
      <c r="EA110" s="128"/>
      <c r="EB110" s="128"/>
      <c r="EC110" s="128"/>
      <c r="ED110" s="128"/>
      <c r="EE110" s="128"/>
      <c r="EF110" s="128"/>
      <c r="EG110" s="128"/>
      <c r="EH110" s="128"/>
      <c r="EI110" s="128"/>
      <c r="EJ110" s="128"/>
      <c r="EK110" s="128"/>
      <c r="EL110" s="128"/>
      <c r="EM110" s="128"/>
      <c r="EN110" s="128"/>
      <c r="EO110" s="128"/>
      <c r="EP110" s="128"/>
      <c r="EQ110" s="128"/>
      <c r="ER110" s="128"/>
      <c r="ES110" s="128"/>
      <c r="ET110" s="128"/>
      <c r="EU110" s="128"/>
      <c r="EV110" s="128"/>
      <c r="EW110" s="128"/>
      <c r="EX110" s="128"/>
      <c r="EY110" s="128"/>
      <c r="EZ110" s="128"/>
      <c r="FA110" s="128"/>
      <c r="FB110" s="128"/>
      <c r="FC110" s="128"/>
      <c r="FD110" s="128"/>
      <c r="FE110" s="128"/>
      <c r="FF110" s="128"/>
      <c r="FG110" s="128"/>
      <c r="FH110" s="128"/>
      <c r="FI110" s="128"/>
      <c r="FJ110" s="128"/>
      <c r="FK110" s="128"/>
      <c r="FL110" s="128"/>
      <c r="FM110" s="128"/>
      <c r="FN110" s="128"/>
      <c r="FO110" s="128"/>
      <c r="FP110" s="128"/>
      <c r="FQ110" s="128"/>
      <c r="FR110" s="128"/>
      <c r="FS110" s="128"/>
      <c r="FT110" s="128"/>
      <c r="FU110" s="128"/>
      <c r="FV110" s="128"/>
      <c r="FW110" s="128"/>
      <c r="FX110" s="128"/>
      <c r="FY110" s="128"/>
      <c r="FZ110" s="128"/>
      <c r="GA110" s="128"/>
      <c r="GB110" s="128"/>
      <c r="GC110" s="128"/>
      <c r="GD110" s="128"/>
      <c r="GE110" s="128"/>
      <c r="GF110" s="128"/>
      <c r="GG110" s="128"/>
      <c r="GH110" s="128"/>
      <c r="GI110" s="128"/>
      <c r="GJ110" s="128"/>
      <c r="GK110" s="128"/>
      <c r="GL110" s="128"/>
      <c r="GM110" s="128"/>
      <c r="GN110" s="128"/>
      <c r="GO110" s="128"/>
      <c r="GP110" s="128"/>
    </row>
    <row r="111" spans="1:198" s="119" customFormat="1" ht="15.6">
      <c r="A111" s="909"/>
      <c r="B111" s="910"/>
      <c r="C111" s="911"/>
      <c r="D111" s="948"/>
      <c r="E111" s="949"/>
      <c r="F111" s="1023"/>
      <c r="G111" s="117"/>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CY111" s="118"/>
      <c r="CZ111" s="118"/>
      <c r="DA111" s="118"/>
      <c r="DB111" s="118"/>
      <c r="DC111" s="118"/>
      <c r="DD111" s="118"/>
      <c r="DE111" s="118"/>
      <c r="DF111" s="118"/>
      <c r="DG111" s="118"/>
      <c r="DH111" s="118"/>
      <c r="DI111" s="118"/>
      <c r="DJ111" s="118"/>
      <c r="DK111" s="118"/>
      <c r="DL111" s="118"/>
      <c r="DM111" s="118"/>
      <c r="DN111" s="118"/>
      <c r="DO111" s="118"/>
      <c r="DP111" s="118"/>
      <c r="DQ111" s="118"/>
      <c r="DR111" s="118"/>
      <c r="DS111" s="118"/>
      <c r="DT111" s="118"/>
      <c r="DU111" s="118"/>
      <c r="DV111" s="118"/>
      <c r="DW111" s="118"/>
      <c r="DX111" s="118"/>
      <c r="DY111" s="118"/>
      <c r="DZ111" s="118"/>
      <c r="EA111" s="118"/>
      <c r="EB111" s="118"/>
      <c r="EC111" s="118"/>
      <c r="ED111" s="118"/>
      <c r="EE111" s="118"/>
      <c r="EF111" s="118"/>
      <c r="EG111" s="118"/>
      <c r="EH111" s="118"/>
      <c r="EI111" s="118"/>
      <c r="EJ111" s="118"/>
      <c r="EK111" s="118"/>
      <c r="EL111" s="118"/>
      <c r="EM111" s="118"/>
      <c r="EN111" s="118"/>
      <c r="EO111" s="118"/>
      <c r="EP111" s="118"/>
      <c r="EQ111" s="118"/>
      <c r="ER111" s="118"/>
      <c r="ES111" s="118"/>
      <c r="ET111" s="118"/>
      <c r="EU111" s="118"/>
      <c r="EV111" s="118"/>
      <c r="EW111" s="118"/>
      <c r="EX111" s="118"/>
      <c r="EY111" s="118"/>
      <c r="EZ111" s="118"/>
      <c r="FA111" s="118"/>
      <c r="FB111" s="118"/>
      <c r="FC111" s="118"/>
      <c r="FD111" s="118"/>
      <c r="FE111" s="118"/>
      <c r="FF111" s="118"/>
      <c r="FG111" s="118"/>
      <c r="FH111" s="118"/>
      <c r="FI111" s="118"/>
      <c r="FJ111" s="118"/>
      <c r="FK111" s="118"/>
      <c r="FL111" s="118"/>
      <c r="FM111" s="118"/>
      <c r="FN111" s="118"/>
      <c r="FO111" s="118"/>
      <c r="FP111" s="118"/>
      <c r="FQ111" s="118"/>
      <c r="FR111" s="118"/>
      <c r="FS111" s="118"/>
      <c r="FT111" s="118"/>
      <c r="FU111" s="118"/>
      <c r="FV111" s="118"/>
      <c r="FW111" s="118"/>
      <c r="FX111" s="118"/>
      <c r="FY111" s="118"/>
      <c r="FZ111" s="118"/>
      <c r="GA111" s="118"/>
      <c r="GB111" s="118"/>
      <c r="GC111" s="118"/>
      <c r="GD111" s="118"/>
      <c r="GE111" s="118"/>
      <c r="GF111" s="118"/>
      <c r="GG111" s="118"/>
      <c r="GH111" s="118"/>
      <c r="GI111" s="118"/>
      <c r="GJ111" s="118"/>
      <c r="GK111" s="118"/>
      <c r="GL111" s="118"/>
      <c r="GM111" s="118"/>
      <c r="GN111" s="118"/>
      <c r="GO111" s="118"/>
      <c r="GP111" s="118"/>
    </row>
    <row r="112" spans="1:198" s="15" customFormat="1">
      <c r="A112" s="866">
        <v>3.7</v>
      </c>
      <c r="B112" s="867" t="s">
        <v>1075</v>
      </c>
      <c r="C112" s="868"/>
      <c r="D112" s="869"/>
      <c r="E112" s="868"/>
      <c r="F112" s="999"/>
    </row>
    <row r="113" spans="1:6" s="15" customFormat="1">
      <c r="A113" s="870"/>
      <c r="B113" s="871" t="s">
        <v>112</v>
      </c>
      <c r="C113" s="868"/>
      <c r="D113" s="869"/>
      <c r="E113" s="868"/>
      <c r="F113" s="999"/>
    </row>
    <row r="114" spans="1:6" s="15" customFormat="1">
      <c r="A114" s="870"/>
      <c r="B114" s="871" t="s">
        <v>1009</v>
      </c>
      <c r="C114" s="868"/>
      <c r="D114" s="869"/>
      <c r="E114" s="868"/>
      <c r="F114" s="999"/>
    </row>
    <row r="115" spans="1:6" s="15" customFormat="1">
      <c r="A115" s="870" t="s">
        <v>1162</v>
      </c>
      <c r="B115" s="872" t="s">
        <v>113</v>
      </c>
      <c r="C115" s="868" t="s">
        <v>2</v>
      </c>
      <c r="D115" s="869">
        <f>D57</f>
        <v>253</v>
      </c>
      <c r="E115" s="868"/>
      <c r="F115" s="999">
        <f>E115*D115</f>
        <v>0</v>
      </c>
    </row>
    <row r="116" spans="1:6" s="15" customFormat="1">
      <c r="A116" s="870"/>
      <c r="B116" s="871" t="s">
        <v>1011</v>
      </c>
      <c r="C116" s="868"/>
      <c r="D116" s="869"/>
      <c r="E116" s="868"/>
      <c r="F116" s="999"/>
    </row>
    <row r="117" spans="1:6" s="15" customFormat="1">
      <c r="A117" s="870" t="s">
        <v>1163</v>
      </c>
      <c r="B117" s="872" t="s">
        <v>1012</v>
      </c>
      <c r="C117" s="868" t="s">
        <v>2</v>
      </c>
      <c r="D117" s="869">
        <f>D58*2</f>
        <v>196</v>
      </c>
      <c r="E117" s="868"/>
      <c r="F117" s="999">
        <f>E117*D117</f>
        <v>0</v>
      </c>
    </row>
    <row r="118" spans="1:6" s="15" customFormat="1">
      <c r="A118" s="870"/>
      <c r="B118" s="867" t="s">
        <v>114</v>
      </c>
      <c r="C118" s="868"/>
      <c r="D118" s="869"/>
      <c r="E118" s="868"/>
      <c r="F118" s="999"/>
    </row>
    <row r="119" spans="1:6" s="15" customFormat="1">
      <c r="A119" s="870"/>
      <c r="B119" s="871" t="s">
        <v>115</v>
      </c>
      <c r="C119" s="868"/>
      <c r="D119" s="869"/>
      <c r="E119" s="868"/>
      <c r="F119" s="999"/>
    </row>
    <row r="120" spans="1:6" s="15" customFormat="1">
      <c r="A120" s="870" t="s">
        <v>1164</v>
      </c>
      <c r="B120" s="872" t="s">
        <v>1026</v>
      </c>
      <c r="C120" s="868" t="s">
        <v>2</v>
      </c>
      <c r="D120" s="869">
        <f>D19</f>
        <v>224</v>
      </c>
      <c r="E120" s="868"/>
      <c r="F120" s="999">
        <f>E120*D120</f>
        <v>0</v>
      </c>
    </row>
    <row r="121" spans="1:6" s="15" customFormat="1">
      <c r="A121" s="870" t="s">
        <v>1165</v>
      </c>
      <c r="B121" s="872" t="s">
        <v>1013</v>
      </c>
      <c r="C121" s="868" t="s">
        <v>3</v>
      </c>
      <c r="D121" s="869">
        <v>220</v>
      </c>
      <c r="E121" s="868"/>
      <c r="F121" s="999">
        <f t="shared" ref="F121" si="6">D121*E121</f>
        <v>0</v>
      </c>
    </row>
    <row r="122" spans="1:6" s="15" customFormat="1">
      <c r="A122" s="870"/>
      <c r="B122" s="867" t="s">
        <v>1014</v>
      </c>
      <c r="C122" s="868"/>
      <c r="D122" s="869"/>
      <c r="E122" s="868"/>
      <c r="F122" s="999"/>
    </row>
    <row r="123" spans="1:6" s="15" customFormat="1">
      <c r="A123" s="870"/>
      <c r="B123" s="867" t="s">
        <v>1015</v>
      </c>
      <c r="C123" s="868"/>
      <c r="D123" s="869"/>
      <c r="E123" s="868"/>
      <c r="F123" s="999"/>
    </row>
    <row r="124" spans="1:6" s="865" customFormat="1">
      <c r="A124" s="870" t="s">
        <v>1166</v>
      </c>
      <c r="B124" s="872" t="s">
        <v>1016</v>
      </c>
      <c r="C124" s="868" t="s">
        <v>2</v>
      </c>
      <c r="D124" s="869">
        <f>D120</f>
        <v>224</v>
      </c>
      <c r="E124" s="869"/>
      <c r="F124" s="999">
        <f t="shared" ref="F124:F126" si="7">D124*E124</f>
        <v>0</v>
      </c>
    </row>
    <row r="125" spans="1:6" s="865" customFormat="1">
      <c r="A125" s="870" t="s">
        <v>1167</v>
      </c>
      <c r="B125" s="872" t="s">
        <v>1017</v>
      </c>
      <c r="C125" s="868" t="s">
        <v>3</v>
      </c>
      <c r="D125" s="869">
        <f>D124/0.6</f>
        <v>373.33333333333337</v>
      </c>
      <c r="E125" s="869"/>
      <c r="F125" s="999">
        <f t="shared" si="7"/>
        <v>0</v>
      </c>
    </row>
    <row r="126" spans="1:6" s="865" customFormat="1">
      <c r="A126" s="870" t="s">
        <v>1168</v>
      </c>
      <c r="B126" s="872" t="s">
        <v>1018</v>
      </c>
      <c r="C126" s="868" t="s">
        <v>2</v>
      </c>
      <c r="D126" s="869">
        <f>D124</f>
        <v>224</v>
      </c>
      <c r="E126" s="869"/>
      <c r="F126" s="999">
        <f t="shared" si="7"/>
        <v>0</v>
      </c>
    </row>
    <row r="127" spans="1:6" s="15" customFormat="1">
      <c r="A127" s="870"/>
      <c r="B127" s="867" t="s">
        <v>116</v>
      </c>
      <c r="C127" s="868"/>
      <c r="D127" s="869"/>
      <c r="E127" s="868"/>
      <c r="F127" s="999"/>
    </row>
    <row r="128" spans="1:6" s="15" customFormat="1">
      <c r="A128" s="870"/>
      <c r="B128" s="867" t="s">
        <v>1019</v>
      </c>
      <c r="C128" s="868"/>
      <c r="D128" s="869"/>
      <c r="E128" s="868"/>
      <c r="F128" s="999"/>
    </row>
    <row r="129" spans="1:7" s="15" customFormat="1">
      <c r="A129" s="870"/>
      <c r="B129" s="867" t="s">
        <v>1020</v>
      </c>
      <c r="C129" s="868"/>
      <c r="D129" s="869"/>
      <c r="E129" s="868"/>
      <c r="F129" s="999"/>
    </row>
    <row r="130" spans="1:7" s="15" customFormat="1">
      <c r="A130" s="870" t="s">
        <v>1169</v>
      </c>
      <c r="B130" s="872" t="s">
        <v>1021</v>
      </c>
      <c r="C130" s="868" t="s">
        <v>2</v>
      </c>
      <c r="D130" s="869">
        <f>D115</f>
        <v>253</v>
      </c>
      <c r="E130" s="868"/>
      <c r="F130" s="999">
        <f>E130*D130</f>
        <v>0</v>
      </c>
    </row>
    <row r="131" spans="1:7" s="15" customFormat="1">
      <c r="A131" s="870"/>
      <c r="B131" s="867" t="s">
        <v>1022</v>
      </c>
      <c r="C131" s="868"/>
      <c r="D131" s="869"/>
      <c r="E131" s="868"/>
      <c r="F131" s="999"/>
    </row>
    <row r="132" spans="1:7" s="15" customFormat="1">
      <c r="A132" s="870"/>
      <c r="B132" s="867" t="s">
        <v>1023</v>
      </c>
      <c r="C132" s="868"/>
      <c r="D132" s="869"/>
      <c r="E132" s="868"/>
      <c r="F132" s="999"/>
    </row>
    <row r="133" spans="1:7" s="15" customFormat="1">
      <c r="A133" s="870" t="s">
        <v>1170</v>
      </c>
      <c r="B133" s="872" t="s">
        <v>1024</v>
      </c>
      <c r="C133" s="868" t="s">
        <v>2</v>
      </c>
      <c r="D133" s="869">
        <f>D117</f>
        <v>196</v>
      </c>
      <c r="E133" s="868"/>
      <c r="F133" s="999">
        <f>E133*D133</f>
        <v>0</v>
      </c>
    </row>
    <row r="134" spans="1:7" s="15" customFormat="1">
      <c r="A134" s="870" t="s">
        <v>1171</v>
      </c>
      <c r="B134" s="872" t="s">
        <v>1025</v>
      </c>
      <c r="C134" s="868" t="s">
        <v>2</v>
      </c>
      <c r="D134" s="869">
        <f>D126</f>
        <v>224</v>
      </c>
      <c r="E134" s="868"/>
      <c r="F134" s="999">
        <f>E134*D134</f>
        <v>0</v>
      </c>
    </row>
    <row r="135" spans="1:7" s="15" customFormat="1">
      <c r="A135" s="870"/>
      <c r="B135" s="872"/>
      <c r="C135" s="868"/>
      <c r="D135" s="873"/>
      <c r="E135" s="868"/>
      <c r="F135" s="999"/>
    </row>
    <row r="136" spans="1:7" s="838" customFormat="1">
      <c r="A136" s="834"/>
      <c r="B136" s="834" t="s">
        <v>1027</v>
      </c>
      <c r="C136" s="834"/>
      <c r="D136" s="834"/>
      <c r="E136" s="834"/>
      <c r="F136" s="998">
        <f>SUM(F115:F135)</f>
        <v>0</v>
      </c>
      <c r="G136" s="837"/>
    </row>
    <row r="137" spans="1:7" s="152" customFormat="1">
      <c r="A137" s="146" t="s">
        <v>82</v>
      </c>
      <c r="B137" s="147" t="s">
        <v>7</v>
      </c>
      <c r="C137" s="148" t="s">
        <v>141</v>
      </c>
      <c r="D137" s="149" t="s">
        <v>142</v>
      </c>
      <c r="E137" s="150" t="s">
        <v>143</v>
      </c>
      <c r="F137" s="1024" t="s">
        <v>289</v>
      </c>
      <c r="G137" s="151"/>
    </row>
    <row r="138" spans="1:7" s="52" customFormat="1" ht="31.2">
      <c r="A138" s="153">
        <v>3.8</v>
      </c>
      <c r="B138" s="169" t="s">
        <v>1076</v>
      </c>
      <c r="C138" s="162"/>
      <c r="D138" s="163"/>
      <c r="E138" s="162"/>
      <c r="F138" s="1025"/>
      <c r="G138" s="77"/>
    </row>
    <row r="139" spans="1:7" s="159" customFormat="1" ht="15.6">
      <c r="A139" s="372"/>
      <c r="B139" s="161"/>
      <c r="C139" s="155"/>
      <c r="D139" s="156"/>
      <c r="E139" s="157"/>
      <c r="F139" s="1026">
        <f t="shared" ref="F139:F154" si="8">E139*D139</f>
        <v>0</v>
      </c>
      <c r="G139" s="158"/>
    </row>
    <row r="140" spans="1:7" s="165" customFormat="1" ht="15.6">
      <c r="A140" s="160"/>
      <c r="B140" s="161" t="s">
        <v>122</v>
      </c>
      <c r="C140" s="162"/>
      <c r="D140" s="163"/>
      <c r="E140" s="162"/>
      <c r="F140" s="1026">
        <f t="shared" si="8"/>
        <v>0</v>
      </c>
      <c r="G140" s="164"/>
    </row>
    <row r="141" spans="1:7" s="165" customFormat="1" ht="62.4">
      <c r="A141" s="160"/>
      <c r="B141" s="378" t="s">
        <v>280</v>
      </c>
      <c r="C141" s="166"/>
      <c r="D141" s="163"/>
      <c r="E141" s="162"/>
      <c r="F141" s="1026">
        <f t="shared" si="8"/>
        <v>0</v>
      </c>
      <c r="G141" s="164"/>
    </row>
    <row r="142" spans="1:7" s="165" customFormat="1" ht="15.6">
      <c r="A142" s="160" t="s">
        <v>1173</v>
      </c>
      <c r="B142" s="167" t="s">
        <v>507</v>
      </c>
      <c r="C142" s="166" t="s">
        <v>4</v>
      </c>
      <c r="D142" s="163">
        <v>20</v>
      </c>
      <c r="E142" s="162"/>
      <c r="F142" s="1026">
        <f t="shared" si="8"/>
        <v>0</v>
      </c>
      <c r="G142" s="164"/>
    </row>
    <row r="143" spans="1:7" s="165" customFormat="1" ht="15.6">
      <c r="A143" s="160"/>
      <c r="B143" s="168" t="s">
        <v>123</v>
      </c>
      <c r="C143" s="166"/>
      <c r="D143" s="163"/>
      <c r="E143" s="162"/>
      <c r="F143" s="1026">
        <f t="shared" si="8"/>
        <v>0</v>
      </c>
      <c r="G143" s="164"/>
    </row>
    <row r="144" spans="1:7" s="165" customFormat="1" ht="15.6">
      <c r="A144" s="160" t="s">
        <v>1174</v>
      </c>
      <c r="B144" s="167" t="s">
        <v>124</v>
      </c>
      <c r="C144" s="166" t="s">
        <v>117</v>
      </c>
      <c r="D144" s="163">
        <f>D142</f>
        <v>20</v>
      </c>
      <c r="E144" s="162"/>
      <c r="F144" s="1026">
        <f t="shared" si="8"/>
        <v>0</v>
      </c>
      <c r="G144" s="164"/>
    </row>
    <row r="145" spans="1:7" s="165" customFormat="1" ht="15.6">
      <c r="A145" s="160"/>
      <c r="B145" s="169" t="s">
        <v>125</v>
      </c>
      <c r="C145" s="162"/>
      <c r="D145" s="163"/>
      <c r="E145" s="162"/>
      <c r="F145" s="1026">
        <f t="shared" si="8"/>
        <v>0</v>
      </c>
      <c r="G145" s="164"/>
    </row>
    <row r="146" spans="1:7" s="165" customFormat="1" ht="124.8">
      <c r="A146" s="160"/>
      <c r="B146" s="170" t="s">
        <v>437</v>
      </c>
      <c r="C146" s="166"/>
      <c r="D146" s="163"/>
      <c r="E146" s="162"/>
      <c r="F146" s="1026">
        <f t="shared" si="8"/>
        <v>0</v>
      </c>
      <c r="G146" s="164"/>
    </row>
    <row r="147" spans="1:7" s="165" customFormat="1" ht="15.6">
      <c r="A147" s="160"/>
      <c r="B147" s="171" t="s">
        <v>126</v>
      </c>
      <c r="C147" s="166"/>
      <c r="D147" s="163"/>
      <c r="E147" s="162"/>
      <c r="F147" s="1026">
        <f t="shared" si="8"/>
        <v>0</v>
      </c>
      <c r="G147" s="164"/>
    </row>
    <row r="148" spans="1:7" s="165" customFormat="1" ht="15.6">
      <c r="A148" s="160" t="s">
        <v>1175</v>
      </c>
      <c r="B148" s="171" t="s">
        <v>127</v>
      </c>
      <c r="C148" s="166" t="s">
        <v>117</v>
      </c>
      <c r="D148" s="163">
        <v>20</v>
      </c>
      <c r="E148" s="162"/>
      <c r="F148" s="1026">
        <f t="shared" si="8"/>
        <v>0</v>
      </c>
      <c r="G148" s="164"/>
    </row>
    <row r="149" spans="1:7" s="165" customFormat="1" ht="15.6">
      <c r="A149" s="160"/>
      <c r="B149" s="168" t="s">
        <v>128</v>
      </c>
      <c r="C149" s="162"/>
      <c r="D149" s="163"/>
      <c r="E149" s="162"/>
      <c r="F149" s="1026">
        <f t="shared" si="8"/>
        <v>0</v>
      </c>
      <c r="G149" s="164"/>
    </row>
    <row r="150" spans="1:7" s="165" customFormat="1" ht="93.6">
      <c r="A150" s="160"/>
      <c r="B150" s="167" t="s">
        <v>508</v>
      </c>
      <c r="C150" s="166"/>
      <c r="D150" s="163"/>
      <c r="E150" s="162"/>
      <c r="F150" s="1026">
        <f t="shared" si="8"/>
        <v>0</v>
      </c>
      <c r="G150" s="164"/>
    </row>
    <row r="151" spans="1:7" s="165" customFormat="1" ht="15.6">
      <c r="A151" s="160" t="s">
        <v>1176</v>
      </c>
      <c r="B151" s="171" t="s">
        <v>129</v>
      </c>
      <c r="C151" s="166" t="s">
        <v>130</v>
      </c>
      <c r="D151" s="163">
        <f>86*3</f>
        <v>258</v>
      </c>
      <c r="E151" s="162"/>
      <c r="F151" s="1026">
        <f t="shared" si="8"/>
        <v>0</v>
      </c>
      <c r="G151" s="164"/>
    </row>
    <row r="152" spans="1:7" s="165" customFormat="1" ht="46.8">
      <c r="A152" s="373"/>
      <c r="B152" s="154" t="s">
        <v>509</v>
      </c>
      <c r="C152" s="172"/>
      <c r="D152" s="163"/>
      <c r="E152" s="162"/>
      <c r="F152" s="1026">
        <f t="shared" si="8"/>
        <v>0</v>
      </c>
      <c r="G152" s="164"/>
    </row>
    <row r="153" spans="1:7" s="165" customFormat="1" ht="15.6">
      <c r="A153" s="373" t="s">
        <v>1177</v>
      </c>
      <c r="B153" s="173" t="s">
        <v>131</v>
      </c>
      <c r="C153" s="172" t="s">
        <v>132</v>
      </c>
      <c r="D153" s="163">
        <v>2</v>
      </c>
      <c r="E153" s="162"/>
      <c r="F153" s="1026">
        <f t="shared" si="8"/>
        <v>0</v>
      </c>
      <c r="G153" s="164"/>
    </row>
    <row r="154" spans="1:7" s="165" customFormat="1" ht="46.8">
      <c r="A154" s="373"/>
      <c r="B154" s="174" t="s">
        <v>510</v>
      </c>
      <c r="C154" s="166"/>
      <c r="D154" s="163"/>
      <c r="E154" s="162"/>
      <c r="F154" s="1026">
        <f t="shared" si="8"/>
        <v>0</v>
      </c>
      <c r="G154" s="164"/>
    </row>
    <row r="155" spans="1:7" s="165" customFormat="1" ht="93.6">
      <c r="A155" s="373" t="s">
        <v>1178</v>
      </c>
      <c r="B155" s="173" t="s">
        <v>438</v>
      </c>
      <c r="C155" s="172" t="s">
        <v>439</v>
      </c>
      <c r="D155" s="163">
        <v>2</v>
      </c>
      <c r="E155" s="162"/>
      <c r="F155" s="1026">
        <f>E155*D155</f>
        <v>0</v>
      </c>
      <c r="G155" s="164"/>
    </row>
    <row r="156" spans="1:7" s="103" customFormat="1" ht="15.6">
      <c r="A156" s="372"/>
      <c r="B156" s="175" t="s">
        <v>492</v>
      </c>
      <c r="C156" s="176"/>
      <c r="D156" s="177"/>
      <c r="E156" s="178"/>
      <c r="F156" s="1027">
        <f>SUM(F141:F155)</f>
        <v>0</v>
      </c>
      <c r="G156" s="179"/>
    </row>
    <row r="157" spans="1:7" s="472" customFormat="1">
      <c r="A157" s="59" t="s">
        <v>82</v>
      </c>
      <c r="B157" s="38" t="s">
        <v>7</v>
      </c>
      <c r="C157" s="37" t="s">
        <v>141</v>
      </c>
      <c r="D157" s="56" t="s">
        <v>142</v>
      </c>
      <c r="E157" s="57" t="s">
        <v>143</v>
      </c>
      <c r="F157" s="977" t="s">
        <v>289</v>
      </c>
    </row>
    <row r="158" spans="1:7">
      <c r="A158" s="375">
        <v>3.9</v>
      </c>
      <c r="B158" s="182" t="s">
        <v>1179</v>
      </c>
      <c r="C158" s="183"/>
      <c r="D158" s="184"/>
      <c r="E158" s="185"/>
      <c r="F158" s="1005"/>
      <c r="G158" s="65"/>
    </row>
    <row r="159" spans="1:7" ht="28.8">
      <c r="A159" s="374" t="s">
        <v>342</v>
      </c>
      <c r="B159" s="186" t="s">
        <v>526</v>
      </c>
      <c r="C159" s="183" t="s">
        <v>140</v>
      </c>
      <c r="D159" s="184" t="s">
        <v>281</v>
      </c>
      <c r="E159" s="185"/>
      <c r="F159" s="1026">
        <f>E159</f>
        <v>0</v>
      </c>
      <c r="G159" s="65"/>
    </row>
    <row r="160" spans="1:7" ht="86.4">
      <c r="A160" s="380"/>
      <c r="B160" s="381" t="s">
        <v>675</v>
      </c>
      <c r="C160" s="172" t="s">
        <v>439</v>
      </c>
      <c r="D160" s="110">
        <v>2</v>
      </c>
      <c r="E160" s="111"/>
      <c r="F160" s="1026">
        <f>E160*D160</f>
        <v>0</v>
      </c>
      <c r="G160" s="65"/>
    </row>
    <row r="161" spans="1:7" ht="28.8">
      <c r="A161" s="380"/>
      <c r="B161" s="381" t="s">
        <v>524</v>
      </c>
      <c r="C161" s="172" t="s">
        <v>439</v>
      </c>
      <c r="D161" s="110">
        <v>1</v>
      </c>
      <c r="E161" s="382"/>
      <c r="F161" s="1026">
        <f>E161*D161</f>
        <v>0</v>
      </c>
      <c r="G161" s="65"/>
    </row>
    <row r="162" spans="1:7" ht="15.6">
      <c r="A162" s="380"/>
      <c r="B162" s="381"/>
      <c r="C162" s="383"/>
      <c r="D162" s="110"/>
      <c r="E162" s="382"/>
      <c r="F162" s="1028"/>
      <c r="G162" s="65"/>
    </row>
    <row r="163" spans="1:7" s="104" customFormat="1">
      <c r="A163" s="201"/>
      <c r="B163" s="201" t="s">
        <v>341</v>
      </c>
      <c r="C163" s="202"/>
      <c r="D163" s="202"/>
      <c r="E163" s="202"/>
      <c r="F163" s="1029"/>
      <c r="G163" s="191"/>
    </row>
    <row r="164" spans="1:7" ht="28.8">
      <c r="A164" s="202" t="s">
        <v>344</v>
      </c>
      <c r="B164" s="202" t="s">
        <v>343</v>
      </c>
      <c r="C164" s="202" t="s">
        <v>2</v>
      </c>
      <c r="D164" s="202">
        <f>CEILING(9*0.8,1)</f>
        <v>8</v>
      </c>
      <c r="E164" s="202"/>
      <c r="F164" s="1029">
        <f>D164*E164</f>
        <v>0</v>
      </c>
      <c r="G164" s="65"/>
    </row>
    <row r="165" spans="1:7">
      <c r="A165" s="202" t="s">
        <v>346</v>
      </c>
      <c r="B165" s="202" t="s">
        <v>345</v>
      </c>
      <c r="C165" s="202" t="s">
        <v>2</v>
      </c>
      <c r="D165" s="202">
        <f>CEILING(0.8*9.5,1)</f>
        <v>8</v>
      </c>
      <c r="E165" s="202"/>
      <c r="F165" s="1029">
        <f t="shared" ref="F165:F180" si="9">D165*E165</f>
        <v>0</v>
      </c>
      <c r="G165" s="65"/>
    </row>
    <row r="166" spans="1:7" ht="28.8">
      <c r="A166" s="202" t="s">
        <v>348</v>
      </c>
      <c r="B166" s="202" t="s">
        <v>347</v>
      </c>
      <c r="C166" s="202" t="s">
        <v>2</v>
      </c>
      <c r="D166" s="202">
        <f>D165</f>
        <v>8</v>
      </c>
      <c r="E166" s="202"/>
      <c r="F166" s="1029">
        <f t="shared" si="9"/>
        <v>0</v>
      </c>
      <c r="G166" s="65"/>
    </row>
    <row r="167" spans="1:7" s="104" customFormat="1">
      <c r="A167" s="202" t="s">
        <v>350</v>
      </c>
      <c r="B167" s="202" t="s">
        <v>349</v>
      </c>
      <c r="C167" s="202" t="s">
        <v>2</v>
      </c>
      <c r="D167" s="202">
        <f>D166</f>
        <v>8</v>
      </c>
      <c r="E167" s="202"/>
      <c r="F167" s="1029">
        <f t="shared" si="9"/>
        <v>0</v>
      </c>
      <c r="G167" s="191"/>
    </row>
    <row r="168" spans="1:7">
      <c r="A168" s="202" t="s">
        <v>352</v>
      </c>
      <c r="B168" s="202" t="s">
        <v>351</v>
      </c>
      <c r="C168" s="202" t="s">
        <v>3</v>
      </c>
      <c r="D168" s="202">
        <f>CEILING(0.8+6.5+0.8+3,1)</f>
        <v>12</v>
      </c>
      <c r="E168" s="202"/>
      <c r="F168" s="1029">
        <f t="shared" si="9"/>
        <v>0</v>
      </c>
      <c r="G168" s="65"/>
    </row>
    <row r="169" spans="1:7">
      <c r="A169" s="202" t="s">
        <v>354</v>
      </c>
      <c r="B169" s="202" t="s">
        <v>353</v>
      </c>
      <c r="C169" s="202" t="s">
        <v>2</v>
      </c>
      <c r="D169" s="202">
        <f>D167*2</f>
        <v>16</v>
      </c>
      <c r="E169" s="202"/>
      <c r="F169" s="1029">
        <f t="shared" si="9"/>
        <v>0</v>
      </c>
      <c r="G169" s="65"/>
    </row>
    <row r="170" spans="1:7">
      <c r="A170" s="202" t="s">
        <v>356</v>
      </c>
      <c r="B170" s="202" t="s">
        <v>355</v>
      </c>
      <c r="C170" s="202" t="s">
        <v>2</v>
      </c>
      <c r="D170" s="202">
        <f>D166</f>
        <v>8</v>
      </c>
      <c r="E170" s="202"/>
      <c r="F170" s="1029">
        <f t="shared" si="9"/>
        <v>0</v>
      </c>
      <c r="G170" s="65"/>
    </row>
    <row r="171" spans="1:7" ht="28.8">
      <c r="A171" s="202" t="s">
        <v>465</v>
      </c>
      <c r="B171" s="202" t="s">
        <v>357</v>
      </c>
      <c r="C171" s="202" t="s">
        <v>2</v>
      </c>
      <c r="D171" s="202">
        <f>CEILING(9*0.8,1)</f>
        <v>8</v>
      </c>
      <c r="E171" s="202"/>
      <c r="F171" s="1029">
        <f t="shared" si="9"/>
        <v>0</v>
      </c>
      <c r="G171" s="65"/>
    </row>
    <row r="172" spans="1:7">
      <c r="A172" s="202" t="s">
        <v>360</v>
      </c>
      <c r="B172" s="202" t="s">
        <v>358</v>
      </c>
      <c r="C172" s="202" t="s">
        <v>359</v>
      </c>
      <c r="D172" s="202">
        <v>25</v>
      </c>
      <c r="E172" s="202"/>
      <c r="F172" s="1029">
        <f t="shared" si="9"/>
        <v>0</v>
      </c>
      <c r="G172" s="65"/>
    </row>
    <row r="173" spans="1:7">
      <c r="A173" s="202" t="s">
        <v>362</v>
      </c>
      <c r="B173" s="202" t="s">
        <v>361</v>
      </c>
      <c r="C173" s="202" t="s">
        <v>282</v>
      </c>
      <c r="D173" s="202" t="s">
        <v>281</v>
      </c>
      <c r="E173" s="202"/>
      <c r="F173" s="1029">
        <f>E173</f>
        <v>0</v>
      </c>
      <c r="G173" s="65"/>
    </row>
    <row r="174" spans="1:7">
      <c r="A174" s="202" t="s">
        <v>466</v>
      </c>
      <c r="B174" s="202" t="s">
        <v>363</v>
      </c>
      <c r="C174" s="202"/>
      <c r="D174" s="202"/>
      <c r="E174" s="202"/>
      <c r="F174" s="1029"/>
      <c r="G174" s="65"/>
    </row>
    <row r="175" spans="1:7">
      <c r="A175" s="202"/>
      <c r="B175" s="202" t="s">
        <v>364</v>
      </c>
      <c r="C175" s="202" t="s">
        <v>2</v>
      </c>
      <c r="D175" s="202">
        <f>D171</f>
        <v>8</v>
      </c>
      <c r="E175" s="202"/>
      <c r="F175" s="1029">
        <f t="shared" si="9"/>
        <v>0</v>
      </c>
      <c r="G175" s="65"/>
    </row>
    <row r="176" spans="1:7">
      <c r="A176" s="202"/>
      <c r="B176" s="202"/>
      <c r="C176" s="202"/>
      <c r="D176" s="202"/>
      <c r="E176" s="202"/>
      <c r="F176" s="1029"/>
      <c r="G176" s="65"/>
    </row>
    <row r="177" spans="1:7">
      <c r="A177" s="201"/>
      <c r="B177" s="201" t="s">
        <v>365</v>
      </c>
      <c r="C177" s="202"/>
      <c r="D177" s="202"/>
      <c r="E177" s="202"/>
      <c r="F177" s="1029"/>
      <c r="G177" s="65"/>
    </row>
    <row r="178" spans="1:7" ht="28.8">
      <c r="A178" s="202" t="s">
        <v>467</v>
      </c>
      <c r="B178" s="202" t="s">
        <v>366</v>
      </c>
      <c r="C178" s="202" t="s">
        <v>2</v>
      </c>
      <c r="D178" s="202">
        <v>30</v>
      </c>
      <c r="E178" s="202"/>
      <c r="F178" s="1029">
        <f t="shared" si="9"/>
        <v>0</v>
      </c>
      <c r="G178" s="65"/>
    </row>
    <row r="179" spans="1:7">
      <c r="A179" s="202" t="s">
        <v>468</v>
      </c>
      <c r="B179" s="202" t="s">
        <v>367</v>
      </c>
      <c r="C179" s="202" t="s">
        <v>359</v>
      </c>
      <c r="D179" s="202">
        <v>15</v>
      </c>
      <c r="E179" s="202"/>
      <c r="F179" s="1029">
        <f t="shared" si="9"/>
        <v>0</v>
      </c>
      <c r="G179" s="65"/>
    </row>
    <row r="180" spans="1:7">
      <c r="A180" s="202" t="s">
        <v>1180</v>
      </c>
      <c r="B180" s="202" t="s">
        <v>363</v>
      </c>
      <c r="C180" s="202" t="s">
        <v>2</v>
      </c>
      <c r="D180" s="202">
        <v>30</v>
      </c>
      <c r="E180" s="202"/>
      <c r="F180" s="1029">
        <f t="shared" si="9"/>
        <v>0</v>
      </c>
      <c r="G180" s="65"/>
    </row>
    <row r="181" spans="1:7">
      <c r="A181" s="375"/>
      <c r="B181" s="187" t="s">
        <v>493</v>
      </c>
      <c r="C181" s="188"/>
      <c r="D181" s="189"/>
      <c r="E181" s="190"/>
      <c r="F181" s="1005">
        <f>SUM(F159:F180)</f>
        <v>0</v>
      </c>
      <c r="G181" s="65"/>
    </row>
    <row r="182" spans="1:7">
      <c r="A182" s="374"/>
      <c r="B182" s="186"/>
      <c r="C182" s="183"/>
      <c r="D182" s="184"/>
      <c r="E182" s="185"/>
      <c r="F182" s="1005"/>
      <c r="G182" s="65"/>
    </row>
    <row r="183" spans="1:7">
      <c r="A183" s="880">
        <v>3.1</v>
      </c>
      <c r="B183" s="182" t="s">
        <v>1182</v>
      </c>
      <c r="C183" s="183"/>
      <c r="D183" s="184"/>
      <c r="E183" s="185"/>
      <c r="F183" s="1005"/>
      <c r="G183" s="65"/>
    </row>
    <row r="184" spans="1:7" ht="28.8">
      <c r="A184" s="374" t="s">
        <v>1181</v>
      </c>
      <c r="B184" s="192" t="s">
        <v>525</v>
      </c>
      <c r="C184" s="183" t="s">
        <v>4</v>
      </c>
      <c r="D184" s="184">
        <v>3</v>
      </c>
      <c r="E184" s="185"/>
      <c r="F184" s="1030">
        <f t="shared" ref="F184" si="10">D184*E184</f>
        <v>0</v>
      </c>
      <c r="G184" s="65"/>
    </row>
    <row r="185" spans="1:7">
      <c r="A185" s="375"/>
      <c r="B185" s="193" t="s">
        <v>494</v>
      </c>
      <c r="C185" s="188"/>
      <c r="D185" s="189"/>
      <c r="E185" s="190"/>
      <c r="F185" s="1005">
        <f>SUM(F184)</f>
        <v>0</v>
      </c>
      <c r="G185" s="65"/>
    </row>
    <row r="186" spans="1:7">
      <c r="A186" s="374"/>
      <c r="B186" s="192"/>
      <c r="C186" s="183"/>
      <c r="D186" s="184"/>
      <c r="E186" s="185"/>
      <c r="F186" s="1005"/>
      <c r="G186" s="65"/>
    </row>
    <row r="187" spans="1:7">
      <c r="A187" s="952">
        <v>3.11</v>
      </c>
      <c r="B187" s="182" t="s">
        <v>1183</v>
      </c>
      <c r="C187" s="194"/>
      <c r="D187" s="195"/>
      <c r="E187" s="195"/>
      <c r="F187" s="1006"/>
      <c r="G187" s="65"/>
    </row>
    <row r="188" spans="1:7">
      <c r="A188" s="376" t="s">
        <v>1184</v>
      </c>
      <c r="B188" s="186" t="s">
        <v>301</v>
      </c>
      <c r="C188" s="194" t="s">
        <v>162</v>
      </c>
      <c r="D188" s="195">
        <v>11</v>
      </c>
      <c r="E188" s="195"/>
      <c r="F188" s="1006">
        <f>D188*E188</f>
        <v>0</v>
      </c>
      <c r="G188" s="65"/>
    </row>
    <row r="189" spans="1:7">
      <c r="A189" s="376" t="s">
        <v>1185</v>
      </c>
      <c r="B189" s="186" t="s">
        <v>513</v>
      </c>
      <c r="C189" s="194" t="s">
        <v>162</v>
      </c>
      <c r="D189" s="195">
        <v>7</v>
      </c>
      <c r="E189" s="195"/>
      <c r="F189" s="1006">
        <f>D189*E189</f>
        <v>0</v>
      </c>
      <c r="G189" s="65"/>
    </row>
    <row r="190" spans="1:7" s="104" customFormat="1">
      <c r="A190" s="376" t="s">
        <v>1186</v>
      </c>
      <c r="B190" s="186" t="s">
        <v>225</v>
      </c>
      <c r="C190" s="194" t="s">
        <v>164</v>
      </c>
      <c r="D190" s="195">
        <v>4</v>
      </c>
      <c r="E190" s="195"/>
      <c r="F190" s="1006">
        <f>D190*E190</f>
        <v>0</v>
      </c>
      <c r="G190" s="191"/>
    </row>
    <row r="191" spans="1:7">
      <c r="A191" s="376" t="s">
        <v>1187</v>
      </c>
      <c r="B191" s="186" t="s">
        <v>226</v>
      </c>
      <c r="C191" s="194" t="s">
        <v>162</v>
      </c>
      <c r="D191" s="195">
        <v>1</v>
      </c>
      <c r="E191" s="195"/>
      <c r="F191" s="1006">
        <f>D191*E191</f>
        <v>0</v>
      </c>
    </row>
    <row r="192" spans="1:7">
      <c r="A192" s="180"/>
      <c r="B192" s="196" t="s">
        <v>495</v>
      </c>
      <c r="C192" s="181"/>
      <c r="D192" s="197"/>
      <c r="E192" s="198"/>
      <c r="F192" s="1007">
        <f>SUM(F188:F191)</f>
        <v>0</v>
      </c>
    </row>
    <row r="193" spans="1:6" s="472" customFormat="1">
      <c r="A193" s="59" t="s">
        <v>82</v>
      </c>
      <c r="B193" s="38" t="s">
        <v>7</v>
      </c>
      <c r="C193" s="37" t="s">
        <v>141</v>
      </c>
      <c r="D193" s="56" t="s">
        <v>142</v>
      </c>
      <c r="E193" s="57" t="s">
        <v>143</v>
      </c>
      <c r="F193" s="977" t="s">
        <v>289</v>
      </c>
    </row>
    <row r="194" spans="1:6">
      <c r="A194" s="374"/>
      <c r="B194" s="200" t="s">
        <v>461</v>
      </c>
      <c r="C194" s="199"/>
      <c r="D194" s="199"/>
      <c r="E194" s="199"/>
      <c r="F194" s="1009"/>
    </row>
    <row r="195" spans="1:6">
      <c r="A195" s="374"/>
      <c r="B195" s="199"/>
      <c r="C195" s="199"/>
      <c r="D195" s="199"/>
      <c r="E195" s="199"/>
      <c r="F195" s="1009"/>
    </row>
    <row r="196" spans="1:6" s="472" customFormat="1">
      <c r="A196" s="928"/>
      <c r="B196" s="929" t="str">
        <f>B7</f>
        <v>ELEMENT NO. 1 : SUB-STRUCTURES (all provisional)</v>
      </c>
      <c r="C196" s="929"/>
      <c r="D196" s="929"/>
      <c r="E196" s="929"/>
      <c r="F196" s="1031">
        <f>F33</f>
        <v>0</v>
      </c>
    </row>
    <row r="197" spans="1:6" s="472" customFormat="1">
      <c r="A197" s="928"/>
      <c r="B197" s="929" t="str">
        <f>B36</f>
        <v>ELEMENT NO. 2: SUPER STRUCTURE CONCRETE</v>
      </c>
      <c r="C197" s="929"/>
      <c r="D197" s="929"/>
      <c r="E197" s="929"/>
      <c r="F197" s="1031">
        <f>F51</f>
        <v>0</v>
      </c>
    </row>
    <row r="198" spans="1:6" s="472" customFormat="1">
      <c r="A198" s="928"/>
      <c r="B198" s="929" t="str">
        <f>B53</f>
        <v>ELEMENT NO. 3 SUPERSTRUCTURE WALLING</v>
      </c>
      <c r="C198" s="929"/>
      <c r="D198" s="929"/>
      <c r="E198" s="929"/>
      <c r="F198" s="1031">
        <f>F64</f>
        <v>0</v>
      </c>
    </row>
    <row r="199" spans="1:6" s="472" customFormat="1">
      <c r="A199" s="928"/>
      <c r="B199" s="929" t="str">
        <f>B66</f>
        <v>ELEMENT NO. 4 - ROOF WORKS</v>
      </c>
      <c r="C199" s="929"/>
      <c r="D199" s="929"/>
      <c r="E199" s="929"/>
      <c r="F199" s="1031">
        <f>F91</f>
        <v>0</v>
      </c>
    </row>
    <row r="200" spans="1:6" s="472" customFormat="1">
      <c r="A200" s="928"/>
      <c r="B200" s="929" t="str">
        <f>B93</f>
        <v>ELEMENT NO. 5 - DOORS</v>
      </c>
      <c r="C200" s="929"/>
      <c r="D200" s="929"/>
      <c r="E200" s="929"/>
      <c r="F200" s="1031">
        <f>F106</f>
        <v>0</v>
      </c>
    </row>
    <row r="201" spans="1:6" s="472" customFormat="1">
      <c r="A201" s="928"/>
      <c r="B201" s="929" t="str">
        <f>B108</f>
        <v>ELEMENT NO. 6: WINDOWS</v>
      </c>
      <c r="C201" s="929"/>
      <c r="D201" s="929"/>
      <c r="E201" s="929"/>
      <c r="F201" s="1031">
        <f>F110</f>
        <v>0</v>
      </c>
    </row>
    <row r="202" spans="1:6" s="472" customFormat="1">
      <c r="A202" s="928"/>
      <c r="B202" s="929" t="str">
        <f>B112</f>
        <v>ELEMENT NO 7: FINISHES</v>
      </c>
      <c r="C202" s="929"/>
      <c r="D202" s="929"/>
      <c r="E202" s="929"/>
      <c r="F202" s="1031">
        <f>F136</f>
        <v>0</v>
      </c>
    </row>
    <row r="203" spans="1:6" s="472" customFormat="1">
      <c r="A203" s="928"/>
      <c r="B203" s="931" t="str">
        <f>B138</f>
        <v>ELEMENT NO. 8: ELECTRICAL INSTALLATIONS AND SERVICES</v>
      </c>
      <c r="C203" s="929"/>
      <c r="D203" s="929"/>
      <c r="E203" s="929"/>
      <c r="F203" s="1031">
        <f>F156</f>
        <v>0</v>
      </c>
    </row>
    <row r="204" spans="1:6" s="472" customFormat="1">
      <c r="A204" s="928"/>
      <c r="B204" s="929" t="str">
        <f>B158</f>
        <v>ELEMENT NO. 9: KITCHEN INTERIOR WORKS</v>
      </c>
      <c r="C204" s="929"/>
      <c r="D204" s="929"/>
      <c r="E204" s="929"/>
      <c r="F204" s="1031">
        <f>F181</f>
        <v>0</v>
      </c>
    </row>
    <row r="205" spans="1:6" s="472" customFormat="1">
      <c r="A205" s="928"/>
      <c r="B205" s="929" t="str">
        <f>B183</f>
        <v>ELEMENT NO. 10: DINNING INTERIOR WORKS</v>
      </c>
      <c r="C205" s="929"/>
      <c r="D205" s="929"/>
      <c r="E205" s="929"/>
      <c r="F205" s="1031">
        <f>F185</f>
        <v>0</v>
      </c>
    </row>
    <row r="206" spans="1:6" s="472" customFormat="1">
      <c r="A206" s="928"/>
      <c r="B206" s="929" t="str">
        <f>B187</f>
        <v>ELEMENT NO. 11: RADIAL ARMS</v>
      </c>
      <c r="C206" s="929"/>
      <c r="D206" s="929"/>
      <c r="E206" s="929"/>
      <c r="F206" s="1031">
        <f>F192</f>
        <v>0</v>
      </c>
    </row>
    <row r="207" spans="1:6" s="472" customFormat="1">
      <c r="A207" s="928"/>
      <c r="B207" s="929"/>
      <c r="C207" s="929"/>
      <c r="D207" s="929"/>
      <c r="E207" s="929"/>
      <c r="F207" s="1031"/>
    </row>
    <row r="208" spans="1:6" s="104" customFormat="1">
      <c r="A208" s="953"/>
      <c r="B208" s="954" t="s">
        <v>229</v>
      </c>
      <c r="C208" s="954"/>
      <c r="D208" s="954"/>
      <c r="E208" s="954"/>
      <c r="F208" s="1032">
        <f>SUM(F196:F207)</f>
        <v>0</v>
      </c>
    </row>
    <row r="209" spans="1:9">
      <c r="A209" s="374"/>
      <c r="B209" s="199"/>
      <c r="C209" s="199"/>
      <c r="D209" s="199"/>
      <c r="E209" s="199"/>
      <c r="F209" s="1009"/>
    </row>
    <row r="210" spans="1:9">
      <c r="A210" s="374"/>
      <c r="B210" s="199"/>
      <c r="C210" s="199"/>
      <c r="D210" s="199"/>
      <c r="E210" s="199"/>
      <c r="F210" s="1009"/>
    </row>
    <row r="211" spans="1:9">
      <c r="A211" s="374"/>
      <c r="B211" s="199"/>
      <c r="C211" s="199"/>
      <c r="D211" s="199"/>
      <c r="E211" s="199"/>
      <c r="F211" s="1009"/>
    </row>
    <row r="212" spans="1:9">
      <c r="A212" s="374"/>
      <c r="B212" s="199"/>
      <c r="C212" s="199"/>
      <c r="D212" s="199"/>
      <c r="E212" s="199"/>
      <c r="F212" s="1009"/>
    </row>
    <row r="213" spans="1:9">
      <c r="A213" s="374"/>
      <c r="B213" s="379"/>
      <c r="C213" s="199"/>
      <c r="D213" s="199"/>
      <c r="E213" s="199"/>
      <c r="F213" s="1009"/>
    </row>
    <row r="214" spans="1:9">
      <c r="A214" s="374"/>
      <c r="B214" s="199"/>
      <c r="C214" s="199"/>
      <c r="D214" s="199"/>
      <c r="E214" s="199"/>
      <c r="F214" s="1009"/>
    </row>
    <row r="215" spans="1:9">
      <c r="A215" s="374"/>
      <c r="B215" s="199"/>
      <c r="C215" s="199"/>
      <c r="D215" s="199"/>
      <c r="E215" s="199"/>
      <c r="F215" s="1009"/>
    </row>
    <row r="216" spans="1:9">
      <c r="A216" s="374"/>
      <c r="B216" s="199"/>
      <c r="C216" s="199"/>
      <c r="D216" s="199"/>
      <c r="E216" s="199"/>
      <c r="F216" s="1009"/>
    </row>
    <row r="217" spans="1:9">
      <c r="A217" s="374"/>
      <c r="B217" s="199"/>
      <c r="C217" s="199"/>
      <c r="D217" s="199"/>
      <c r="E217" s="199"/>
      <c r="F217" s="1009"/>
    </row>
    <row r="218" spans="1:9">
      <c r="A218" s="374"/>
      <c r="B218" s="199"/>
      <c r="C218" s="199"/>
      <c r="D218" s="199"/>
      <c r="E218" s="199"/>
      <c r="F218" s="1009"/>
    </row>
    <row r="219" spans="1:9">
      <c r="A219" s="374"/>
      <c r="B219" s="199"/>
      <c r="C219" s="199"/>
      <c r="D219" s="199"/>
      <c r="E219" s="199"/>
      <c r="F219" s="1009"/>
      <c r="I219" s="975">
        <f>F208/224</f>
        <v>0</v>
      </c>
    </row>
    <row r="220" spans="1:9">
      <c r="A220" s="374"/>
      <c r="B220" s="199"/>
      <c r="C220" s="199"/>
      <c r="D220" s="199"/>
      <c r="E220" s="199"/>
      <c r="F220" s="1009"/>
    </row>
    <row r="221" spans="1:9">
      <c r="A221" s="375"/>
      <c r="B221" s="200"/>
      <c r="C221" s="200"/>
      <c r="D221" s="200"/>
      <c r="E221" s="200"/>
      <c r="F221" s="1010"/>
    </row>
  </sheetData>
  <pageMargins left="0.7" right="0.7" top="0.75" bottom="0.75" header="0.3" footer="0.3"/>
  <pageSetup scale="71" orientation="portrait" r:id="rId1"/>
  <rowBreaks count="4" manualBreakCount="4">
    <brk id="33" max="5" man="1"/>
    <brk id="136" max="5" man="1"/>
    <brk id="156" max="5" man="1"/>
    <brk id="19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143"/>
  <sheetViews>
    <sheetView view="pageBreakPreview" zoomScaleNormal="100" zoomScaleSheetLayoutView="100" workbookViewId="0">
      <pane xSplit="2" ySplit="1" topLeftCell="C127" activePane="bottomRight" state="frozen"/>
      <selection pane="topRight" activeCell="C1" sqref="C1"/>
      <selection pane="bottomLeft" activeCell="A2" sqref="A2"/>
      <selection pane="bottomRight" activeCell="B125" sqref="B125"/>
    </sheetView>
  </sheetViews>
  <sheetFormatPr defaultColWidth="8.88671875" defaultRowHeight="14.4"/>
  <cols>
    <col min="1" max="1" width="6.6640625" style="377" bestFit="1" customWidth="1"/>
    <col min="2" max="2" width="54" style="29" customWidth="1"/>
    <col min="3" max="3" width="5.33203125" style="29" bestFit="1" customWidth="1"/>
    <col min="4" max="4" width="6.88671875" style="29" bestFit="1" customWidth="1"/>
    <col min="5" max="5" width="7.109375" style="29" bestFit="1" customWidth="1"/>
    <col min="6" max="6" width="10.44140625" style="1011" bestFit="1" customWidth="1"/>
    <col min="7" max="16384" width="8.88671875" style="29"/>
  </cols>
  <sheetData>
    <row r="1" spans="1:6">
      <c r="A1" s="59" t="s">
        <v>82</v>
      </c>
      <c r="B1" s="38" t="s">
        <v>7</v>
      </c>
      <c r="C1" s="37" t="s">
        <v>141</v>
      </c>
      <c r="D1" s="56" t="s">
        <v>142</v>
      </c>
      <c r="E1" s="57" t="s">
        <v>143</v>
      </c>
      <c r="F1" s="977" t="s">
        <v>289</v>
      </c>
    </row>
    <row r="2" spans="1:6">
      <c r="A2" s="60"/>
      <c r="B2" s="11">
        <f>'1 Preliminaries '!I5</f>
        <v>0</v>
      </c>
      <c r="C2" s="27"/>
      <c r="D2" s="32"/>
      <c r="E2" s="51"/>
      <c r="F2" s="1012"/>
    </row>
    <row r="3" spans="1:6">
      <c r="A3" s="60"/>
      <c r="B3" s="28" t="s">
        <v>923</v>
      </c>
      <c r="C3" s="27"/>
      <c r="D3" s="32"/>
      <c r="E3" s="51"/>
      <c r="F3" s="1012"/>
    </row>
    <row r="4" spans="1:6">
      <c r="A4" s="60"/>
      <c r="B4" s="28"/>
      <c r="C4" s="27"/>
      <c r="D4" s="32"/>
      <c r="E4" s="51"/>
      <c r="F4" s="1012"/>
    </row>
    <row r="5" spans="1:6">
      <c r="A5" s="518">
        <v>4</v>
      </c>
      <c r="B5" s="476" t="s">
        <v>824</v>
      </c>
      <c r="C5" s="477"/>
      <c r="D5" s="478"/>
      <c r="E5" s="480"/>
      <c r="F5" s="1033"/>
    </row>
    <row r="6" spans="1:6">
      <c r="A6" s="526">
        <v>1</v>
      </c>
      <c r="B6" s="527" t="s">
        <v>825</v>
      </c>
      <c r="C6" s="528"/>
      <c r="D6" s="528"/>
      <c r="E6" s="528"/>
      <c r="F6" s="1034"/>
    </row>
    <row r="7" spans="1:6">
      <c r="A7" s="526">
        <v>1.1000000000000001</v>
      </c>
      <c r="B7" s="527" t="s">
        <v>826</v>
      </c>
      <c r="C7" s="528"/>
      <c r="D7" s="528"/>
      <c r="E7" s="528"/>
      <c r="F7" s="1034"/>
    </row>
    <row r="8" spans="1:6" ht="27">
      <c r="A8" s="529" t="s">
        <v>827</v>
      </c>
      <c r="B8" s="530" t="s">
        <v>828</v>
      </c>
      <c r="C8" s="528" t="s">
        <v>331</v>
      </c>
      <c r="D8" s="528">
        <v>9</v>
      </c>
      <c r="E8" s="528"/>
      <c r="F8" s="1034">
        <f t="shared" ref="F8:F73" si="0">D8*E8</f>
        <v>0</v>
      </c>
    </row>
    <row r="9" spans="1:6" ht="16.2">
      <c r="A9" s="529" t="s">
        <v>829</v>
      </c>
      <c r="B9" s="530" t="s">
        <v>1199</v>
      </c>
      <c r="C9" s="528" t="s">
        <v>332</v>
      </c>
      <c r="D9" s="528">
        <f>CEILING(11.8*1*0.6,1)</f>
        <v>8</v>
      </c>
      <c r="E9" s="528"/>
      <c r="F9" s="1034">
        <f t="shared" si="0"/>
        <v>0</v>
      </c>
    </row>
    <row r="10" spans="1:6" ht="16.2">
      <c r="A10" s="529"/>
      <c r="B10" s="239" t="s">
        <v>1193</v>
      </c>
      <c r="C10" s="13" t="s">
        <v>278</v>
      </c>
      <c r="D10" s="237">
        <f>CEILING((16.5)*0.8,1)</f>
        <v>14</v>
      </c>
      <c r="E10" s="238"/>
      <c r="F10" s="979">
        <f>D10*E10</f>
        <v>0</v>
      </c>
    </row>
    <row r="11" spans="1:6" s="472" customFormat="1">
      <c r="A11" s="529"/>
      <c r="B11" s="960"/>
      <c r="C11" s="961"/>
      <c r="D11" s="961"/>
      <c r="E11" s="962"/>
      <c r="F11" s="1035"/>
    </row>
    <row r="12" spans="1:6">
      <c r="A12" s="526">
        <v>1.2</v>
      </c>
      <c r="B12" s="527" t="s">
        <v>830</v>
      </c>
      <c r="C12" s="528"/>
      <c r="D12" s="528"/>
      <c r="E12" s="528"/>
      <c r="F12" s="1034"/>
    </row>
    <row r="13" spans="1:6" ht="27">
      <c r="A13" s="529" t="s">
        <v>831</v>
      </c>
      <c r="B13" s="530" t="s">
        <v>832</v>
      </c>
      <c r="C13" s="528" t="s">
        <v>332</v>
      </c>
      <c r="D13" s="528">
        <f>CEILING(D9-(11.8*0.2*0.6)-(0.2*1.2*11.8),1)</f>
        <v>4</v>
      </c>
      <c r="E13" s="528"/>
      <c r="F13" s="1034">
        <f t="shared" si="0"/>
        <v>0</v>
      </c>
    </row>
    <row r="14" spans="1:6" ht="16.2">
      <c r="A14" s="529" t="s">
        <v>831</v>
      </c>
      <c r="B14" s="530" t="s">
        <v>833</v>
      </c>
      <c r="C14" s="528" t="s">
        <v>332</v>
      </c>
      <c r="D14" s="528">
        <f>D9-D13</f>
        <v>4</v>
      </c>
      <c r="E14" s="528"/>
      <c r="F14" s="1034">
        <f t="shared" si="0"/>
        <v>0</v>
      </c>
    </row>
    <row r="15" spans="1:6">
      <c r="A15" s="529"/>
      <c r="B15" s="527"/>
      <c r="C15" s="528"/>
      <c r="D15" s="528"/>
      <c r="E15" s="528"/>
      <c r="F15" s="1034"/>
    </row>
    <row r="16" spans="1:6">
      <c r="A16" s="526">
        <v>1.3</v>
      </c>
      <c r="B16" s="527" t="s">
        <v>834</v>
      </c>
      <c r="C16" s="528"/>
      <c r="D16" s="528"/>
      <c r="E16" s="528"/>
      <c r="F16" s="1034"/>
    </row>
    <row r="17" spans="1:7" ht="27">
      <c r="A17" s="529" t="s">
        <v>835</v>
      </c>
      <c r="B17" s="530" t="s">
        <v>836</v>
      </c>
      <c r="C17" s="528" t="s">
        <v>331</v>
      </c>
      <c r="D17" s="528">
        <v>9</v>
      </c>
      <c r="E17" s="528"/>
      <c r="F17" s="1034">
        <f t="shared" si="0"/>
        <v>0</v>
      </c>
    </row>
    <row r="18" spans="1:7">
      <c r="A18" s="545"/>
      <c r="B18" s="476" t="s">
        <v>120</v>
      </c>
      <c r="C18" s="528"/>
      <c r="D18" s="528"/>
      <c r="E18" s="528"/>
      <c r="F18" s="1034"/>
    </row>
    <row r="19" spans="1:7" ht="43.2">
      <c r="A19" s="518" t="s">
        <v>527</v>
      </c>
      <c r="B19" s="479" t="s">
        <v>483</v>
      </c>
      <c r="C19" s="478" t="s">
        <v>278</v>
      </c>
      <c r="D19" s="478">
        <v>9</v>
      </c>
      <c r="E19" s="480"/>
      <c r="F19" s="1034">
        <f t="shared" si="0"/>
        <v>0</v>
      </c>
    </row>
    <row r="20" spans="1:7">
      <c r="A20" s="529"/>
      <c r="B20" s="530"/>
      <c r="C20" s="528"/>
      <c r="D20" s="528"/>
      <c r="E20" s="528"/>
      <c r="F20" s="1034"/>
    </row>
    <row r="21" spans="1:7">
      <c r="A21" s="526">
        <v>1.4</v>
      </c>
      <c r="B21" s="527" t="s">
        <v>837</v>
      </c>
      <c r="C21" s="528"/>
      <c r="D21" s="528"/>
      <c r="E21" s="528"/>
      <c r="F21" s="1034"/>
    </row>
    <row r="22" spans="1:7" ht="27">
      <c r="A22" s="529" t="s">
        <v>838</v>
      </c>
      <c r="B22" s="530" t="s">
        <v>839</v>
      </c>
      <c r="C22" s="528" t="s">
        <v>331</v>
      </c>
      <c r="D22" s="528">
        <v>9</v>
      </c>
      <c r="E22" s="528"/>
      <c r="F22" s="1034">
        <f t="shared" si="0"/>
        <v>0</v>
      </c>
    </row>
    <row r="23" spans="1:7">
      <c r="A23" s="518"/>
      <c r="B23" s="476"/>
      <c r="C23" s="477"/>
      <c r="D23" s="478"/>
      <c r="E23" s="480"/>
      <c r="F23" s="1034"/>
    </row>
    <row r="24" spans="1:7" ht="16.2">
      <c r="A24" s="529" t="s">
        <v>840</v>
      </c>
      <c r="B24" s="530" t="s">
        <v>841</v>
      </c>
      <c r="C24" s="528" t="s">
        <v>331</v>
      </c>
      <c r="D24" s="528">
        <v>8</v>
      </c>
      <c r="E24" s="528"/>
      <c r="F24" s="1034">
        <f t="shared" si="0"/>
        <v>0</v>
      </c>
    </row>
    <row r="25" spans="1:7">
      <c r="A25" s="545"/>
      <c r="B25" s="530"/>
      <c r="C25" s="528"/>
      <c r="D25" s="528"/>
      <c r="E25" s="528"/>
      <c r="F25" s="1034"/>
    </row>
    <row r="26" spans="1:7">
      <c r="A26" s="546"/>
      <c r="B26" s="547"/>
      <c r="C26" s="548"/>
      <c r="D26" s="548"/>
      <c r="E26" s="549"/>
      <c r="F26" s="1034"/>
    </row>
    <row r="27" spans="1:7">
      <c r="A27" s="526">
        <v>1.6</v>
      </c>
      <c r="B27" s="527" t="s">
        <v>842</v>
      </c>
      <c r="C27" s="528"/>
      <c r="D27" s="528"/>
      <c r="E27" s="528"/>
      <c r="F27" s="1034"/>
    </row>
    <row r="28" spans="1:7" ht="16.2">
      <c r="A28" s="529" t="s">
        <v>843</v>
      </c>
      <c r="B28" s="530" t="s">
        <v>844</v>
      </c>
      <c r="C28" s="528" t="s">
        <v>332</v>
      </c>
      <c r="D28" s="528">
        <v>2</v>
      </c>
      <c r="E28" s="528"/>
      <c r="F28" s="1034">
        <f t="shared" si="0"/>
        <v>0</v>
      </c>
    </row>
    <row r="29" spans="1:7" ht="16.2">
      <c r="A29" s="529" t="s">
        <v>845</v>
      </c>
      <c r="B29" s="530" t="s">
        <v>1200</v>
      </c>
      <c r="C29" s="528" t="s">
        <v>332</v>
      </c>
      <c r="D29" s="528">
        <f>CEILING(16.5*0.2*0.4,1)</f>
        <v>2</v>
      </c>
      <c r="E29" s="528"/>
      <c r="F29" s="1034">
        <f t="shared" si="0"/>
        <v>0</v>
      </c>
    </row>
    <row r="30" spans="1:7" ht="16.2">
      <c r="A30" s="529" t="s">
        <v>846</v>
      </c>
      <c r="B30" s="530" t="s">
        <v>847</v>
      </c>
      <c r="C30" s="528" t="s">
        <v>331</v>
      </c>
      <c r="D30" s="528">
        <v>9</v>
      </c>
      <c r="E30" s="528"/>
      <c r="F30" s="1034">
        <f t="shared" si="0"/>
        <v>0</v>
      </c>
    </row>
    <row r="31" spans="1:7">
      <c r="A31" s="529"/>
      <c r="B31" s="530"/>
      <c r="C31" s="528"/>
      <c r="D31" s="528"/>
      <c r="E31" s="528"/>
      <c r="F31" s="1034"/>
    </row>
    <row r="32" spans="1:7" s="114" customFormat="1">
      <c r="A32" s="531">
        <v>1.7</v>
      </c>
      <c r="B32" s="527" t="s">
        <v>848</v>
      </c>
      <c r="C32" s="528"/>
      <c r="D32" s="528"/>
      <c r="E32" s="528"/>
      <c r="F32" s="1034"/>
      <c r="G32" s="113"/>
    </row>
    <row r="33" spans="1:198" s="79" customFormat="1" ht="28.8">
      <c r="A33" s="529"/>
      <c r="B33" s="532" t="s">
        <v>849</v>
      </c>
      <c r="C33" s="528"/>
      <c r="D33" s="528"/>
      <c r="E33" s="528"/>
      <c r="F33" s="1034"/>
      <c r="G33" s="78"/>
    </row>
    <row r="34" spans="1:198" s="52" customFormat="1">
      <c r="A34" s="529"/>
      <c r="B34" s="532" t="s">
        <v>850</v>
      </c>
      <c r="C34" s="528"/>
      <c r="D34" s="528"/>
      <c r="E34" s="528"/>
      <c r="F34" s="1034"/>
      <c r="G34" s="77"/>
    </row>
    <row r="35" spans="1:198" s="52" customFormat="1">
      <c r="A35" s="529" t="s">
        <v>851</v>
      </c>
      <c r="B35" s="530" t="s">
        <v>852</v>
      </c>
      <c r="C35" s="528" t="s">
        <v>853</v>
      </c>
      <c r="D35" s="528">
        <f>CEILING(16.5*3*1.15*0.395,1)+CEILING(16.5/0.2*1.1*0.395,1)+CEILING(4*4*1.5*0.395,1)</f>
        <v>69</v>
      </c>
      <c r="E35" s="528"/>
      <c r="F35" s="1034">
        <f t="shared" si="0"/>
        <v>0</v>
      </c>
      <c r="G35" s="77"/>
    </row>
    <row r="36" spans="1:198" s="52" customFormat="1">
      <c r="A36" s="529"/>
      <c r="B36" s="530" t="s">
        <v>1201</v>
      </c>
      <c r="C36" s="528" t="s">
        <v>853</v>
      </c>
      <c r="D36" s="528">
        <f>CEILING(16.5/0.2*0.7*1.15*0.617,1)</f>
        <v>41</v>
      </c>
      <c r="E36" s="528"/>
      <c r="F36" s="1034">
        <f t="shared" ref="F36" si="1">D36*E36</f>
        <v>0</v>
      </c>
      <c r="G36" s="77"/>
    </row>
    <row r="37" spans="1:198" s="115" customFormat="1">
      <c r="A37" s="529" t="s">
        <v>854</v>
      </c>
      <c r="B37" s="530" t="s">
        <v>855</v>
      </c>
      <c r="C37" s="528" t="s">
        <v>853</v>
      </c>
      <c r="D37" s="528">
        <f>CEILING(4*10*1.2*0.888,1)+CEILING(4*4*2*0.888,1)</f>
        <v>72</v>
      </c>
      <c r="E37" s="528"/>
      <c r="F37" s="1034">
        <f t="shared" si="0"/>
        <v>0</v>
      </c>
      <c r="G37" s="65"/>
    </row>
    <row r="38" spans="1:198" s="119" customFormat="1" ht="15.6">
      <c r="A38" s="529"/>
      <c r="B38" s="530"/>
      <c r="C38" s="528"/>
      <c r="D38" s="528"/>
      <c r="E38" s="528"/>
      <c r="F38" s="1034"/>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row>
    <row r="39" spans="1:198" s="119" customFormat="1" ht="15.6">
      <c r="A39" s="526">
        <v>1.8</v>
      </c>
      <c r="B39" s="527" t="s">
        <v>856</v>
      </c>
      <c r="C39" s="528"/>
      <c r="D39" s="528"/>
      <c r="E39" s="528"/>
      <c r="F39" s="1034"/>
      <c r="G39" s="117"/>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row>
    <row r="40" spans="1:198" s="119" customFormat="1" ht="16.2">
      <c r="A40" s="529" t="s">
        <v>857</v>
      </c>
      <c r="B40" s="530" t="s">
        <v>858</v>
      </c>
      <c r="C40" s="528" t="s">
        <v>331</v>
      </c>
      <c r="D40" s="528">
        <v>5</v>
      </c>
      <c r="E40" s="528"/>
      <c r="F40" s="1034">
        <f t="shared" si="0"/>
        <v>0</v>
      </c>
      <c r="G40" s="117"/>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row>
    <row r="41" spans="1:198" s="119" customFormat="1" ht="15.6">
      <c r="A41" s="529" t="s">
        <v>859</v>
      </c>
      <c r="B41" s="530" t="s">
        <v>860</v>
      </c>
      <c r="C41" s="528" t="s">
        <v>136</v>
      </c>
      <c r="D41" s="528">
        <v>22</v>
      </c>
      <c r="E41" s="528"/>
      <c r="F41" s="1034">
        <f t="shared" si="0"/>
        <v>0</v>
      </c>
      <c r="G41" s="117"/>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row>
    <row r="42" spans="1:198" s="119" customFormat="1" ht="15.6">
      <c r="A42" s="519"/>
      <c r="B42" s="482" t="s">
        <v>227</v>
      </c>
      <c r="C42" s="481"/>
      <c r="D42" s="481"/>
      <c r="E42" s="481"/>
      <c r="F42" s="1036">
        <f>SUM(F8:F41)</f>
        <v>0</v>
      </c>
      <c r="G42" s="117"/>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row>
    <row r="43" spans="1:198" s="119" customFormat="1" ht="15.6">
      <c r="A43" s="483" t="s">
        <v>82</v>
      </c>
      <c r="B43" s="484" t="s">
        <v>7</v>
      </c>
      <c r="C43" s="485" t="s">
        <v>141</v>
      </c>
      <c r="D43" s="486" t="s">
        <v>142</v>
      </c>
      <c r="E43" s="487" t="s">
        <v>143</v>
      </c>
      <c r="F43" s="1037" t="s">
        <v>289</v>
      </c>
      <c r="G43" s="117"/>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row>
    <row r="44" spans="1:198" s="119" customFormat="1" ht="15.6">
      <c r="A44" s="488"/>
      <c r="B44" s="489" t="s">
        <v>224</v>
      </c>
      <c r="C44" s="490"/>
      <c r="D44" s="491"/>
      <c r="E44" s="492"/>
      <c r="F44" s="1036">
        <f>F42</f>
        <v>0</v>
      </c>
      <c r="G44" s="117"/>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row>
    <row r="45" spans="1:198" s="119" customFormat="1" ht="15.6">
      <c r="A45" s="526">
        <v>1.9</v>
      </c>
      <c r="B45" s="527" t="s">
        <v>861</v>
      </c>
      <c r="C45" s="528"/>
      <c r="D45" s="528"/>
      <c r="E45" s="528"/>
      <c r="F45" s="1034"/>
      <c r="G45" s="117"/>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row>
    <row r="46" spans="1:198" s="119" customFormat="1" ht="115.2">
      <c r="A46" s="529"/>
      <c r="B46" s="532" t="s">
        <v>862</v>
      </c>
      <c r="C46" s="528"/>
      <c r="D46" s="528"/>
      <c r="E46" s="528"/>
      <c r="F46" s="1034"/>
      <c r="G46" s="117"/>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18"/>
      <c r="FG46" s="118"/>
      <c r="FH46" s="118"/>
      <c r="FI46" s="118"/>
      <c r="FJ46" s="118"/>
      <c r="FK46" s="118"/>
      <c r="FL46" s="118"/>
      <c r="FM46" s="118"/>
      <c r="FN46" s="118"/>
      <c r="FO46" s="118"/>
      <c r="FP46" s="118"/>
      <c r="FQ46" s="118"/>
      <c r="FR46" s="118"/>
      <c r="FS46" s="118"/>
      <c r="FT46" s="118"/>
      <c r="FU46" s="118"/>
      <c r="FV46" s="118"/>
      <c r="FW46" s="118"/>
      <c r="FX46" s="118"/>
      <c r="FY46" s="118"/>
      <c r="FZ46" s="118"/>
      <c r="GA46" s="118"/>
      <c r="GB46" s="118"/>
      <c r="GC46" s="118"/>
      <c r="GD46" s="118"/>
      <c r="GE46" s="118"/>
      <c r="GF46" s="118"/>
      <c r="GG46" s="118"/>
      <c r="GH46" s="118"/>
      <c r="GI46" s="118"/>
      <c r="GJ46" s="118"/>
      <c r="GK46" s="118"/>
      <c r="GL46" s="118"/>
      <c r="GM46" s="118"/>
      <c r="GN46" s="118"/>
      <c r="GO46" s="118"/>
      <c r="GP46" s="118"/>
    </row>
    <row r="47" spans="1:198" s="119" customFormat="1" ht="16.2">
      <c r="A47" s="529" t="s">
        <v>863</v>
      </c>
      <c r="B47" s="530" t="s">
        <v>864</v>
      </c>
      <c r="C47" s="528" t="s">
        <v>331</v>
      </c>
      <c r="D47" s="528">
        <v>15</v>
      </c>
      <c r="E47" s="528"/>
      <c r="F47" s="1034">
        <f t="shared" si="0"/>
        <v>0</v>
      </c>
      <c r="G47" s="117"/>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c r="EO47" s="118"/>
      <c r="EP47" s="118"/>
      <c r="EQ47" s="118"/>
      <c r="ER47" s="118"/>
      <c r="ES47" s="118"/>
      <c r="ET47" s="118"/>
      <c r="EU47" s="118"/>
      <c r="EV47" s="118"/>
      <c r="EW47" s="118"/>
      <c r="EX47" s="118"/>
      <c r="EY47" s="118"/>
      <c r="EZ47" s="118"/>
      <c r="FA47" s="118"/>
      <c r="FB47" s="118"/>
      <c r="FC47" s="118"/>
      <c r="FD47" s="118"/>
      <c r="FE47" s="118"/>
      <c r="FF47" s="118"/>
      <c r="FG47" s="118"/>
      <c r="FH47" s="118"/>
      <c r="FI47" s="118"/>
      <c r="FJ47" s="118"/>
      <c r="FK47" s="118"/>
      <c r="FL47" s="118"/>
      <c r="FM47" s="118"/>
      <c r="FN47" s="118"/>
      <c r="FO47" s="118"/>
      <c r="FP47" s="118"/>
      <c r="FQ47" s="118"/>
      <c r="FR47" s="118"/>
      <c r="FS47" s="118"/>
      <c r="FT47" s="118"/>
      <c r="FU47" s="118"/>
      <c r="FV47" s="118"/>
      <c r="FW47" s="118"/>
      <c r="FX47" s="118"/>
      <c r="FY47" s="118"/>
      <c r="FZ47" s="118"/>
      <c r="GA47" s="118"/>
      <c r="GB47" s="118"/>
      <c r="GC47" s="118"/>
      <c r="GD47" s="118"/>
      <c r="GE47" s="118"/>
      <c r="GF47" s="118"/>
      <c r="GG47" s="118"/>
      <c r="GH47" s="118"/>
      <c r="GI47" s="118"/>
      <c r="GJ47" s="118"/>
      <c r="GK47" s="118"/>
      <c r="GL47" s="118"/>
      <c r="GM47" s="118"/>
      <c r="GN47" s="118"/>
      <c r="GO47" s="118"/>
      <c r="GP47" s="118"/>
    </row>
    <row r="48" spans="1:198" s="129" customFormat="1" ht="15.6">
      <c r="A48" s="519"/>
      <c r="B48" s="493" t="s">
        <v>490</v>
      </c>
      <c r="C48" s="481"/>
      <c r="D48" s="481"/>
      <c r="E48" s="481"/>
      <c r="F48" s="1036">
        <f>SUM(F44:F47)</f>
        <v>0</v>
      </c>
      <c r="G48" s="127"/>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row>
    <row r="49" spans="1:198" s="119" customFormat="1" ht="15.6">
      <c r="A49" s="483" t="s">
        <v>82</v>
      </c>
      <c r="B49" s="484" t="s">
        <v>7</v>
      </c>
      <c r="C49" s="485" t="s">
        <v>141</v>
      </c>
      <c r="D49" s="486" t="s">
        <v>142</v>
      </c>
      <c r="E49" s="487" t="s">
        <v>143</v>
      </c>
      <c r="F49" s="1038" t="s">
        <v>289</v>
      </c>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c r="FR49" s="118"/>
      <c r="FS49" s="118"/>
      <c r="FT49" s="118"/>
      <c r="FU49" s="118"/>
      <c r="FV49" s="118"/>
      <c r="FW49" s="118"/>
      <c r="FX49" s="118"/>
      <c r="FY49" s="118"/>
      <c r="FZ49" s="118"/>
      <c r="GA49" s="118"/>
      <c r="GB49" s="118"/>
      <c r="GC49" s="118"/>
      <c r="GD49" s="118"/>
      <c r="GE49" s="118"/>
      <c r="GF49" s="118"/>
      <c r="GG49" s="118"/>
      <c r="GH49" s="118"/>
      <c r="GI49" s="118"/>
      <c r="GJ49" s="118"/>
      <c r="GK49" s="118"/>
      <c r="GL49" s="118"/>
      <c r="GM49" s="118"/>
      <c r="GN49" s="118"/>
      <c r="GO49" s="118"/>
      <c r="GP49" s="118"/>
    </row>
    <row r="50" spans="1:198" s="119" customFormat="1" ht="15.6">
      <c r="A50" s="529"/>
      <c r="B50" s="530"/>
      <c r="C50" s="528"/>
      <c r="D50" s="528"/>
      <c r="E50" s="528"/>
      <c r="F50" s="1034"/>
      <c r="G50" s="117"/>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row>
    <row r="51" spans="1:198" s="119" customFormat="1" ht="15.6">
      <c r="A51" s="526">
        <v>2</v>
      </c>
      <c r="B51" s="527" t="s">
        <v>865</v>
      </c>
      <c r="C51" s="528"/>
      <c r="D51" s="528"/>
      <c r="E51" s="528"/>
      <c r="F51" s="1034"/>
      <c r="G51" s="117"/>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118"/>
      <c r="FI51" s="118"/>
      <c r="FJ51" s="118"/>
      <c r="FK51" s="118"/>
      <c r="FL51" s="118"/>
      <c r="FM51" s="118"/>
      <c r="FN51" s="118"/>
      <c r="FO51" s="118"/>
      <c r="FP51" s="118"/>
      <c r="FQ51" s="118"/>
      <c r="FR51" s="118"/>
      <c r="FS51" s="118"/>
      <c r="FT51" s="118"/>
      <c r="FU51" s="118"/>
      <c r="FV51" s="118"/>
      <c r="FW51" s="118"/>
      <c r="FX51" s="118"/>
      <c r="FY51" s="118"/>
      <c r="FZ51" s="118"/>
      <c r="GA51" s="118"/>
      <c r="GB51" s="118"/>
      <c r="GC51" s="118"/>
      <c r="GD51" s="118"/>
      <c r="GE51" s="118"/>
      <c r="GF51" s="118"/>
      <c r="GG51" s="118"/>
      <c r="GH51" s="118"/>
      <c r="GI51" s="118"/>
      <c r="GJ51" s="118"/>
      <c r="GK51" s="118"/>
      <c r="GL51" s="118"/>
      <c r="GM51" s="118"/>
      <c r="GN51" s="118"/>
      <c r="GO51" s="118"/>
      <c r="GP51" s="118"/>
    </row>
    <row r="52" spans="1:198" s="119" customFormat="1" ht="15.6">
      <c r="A52" s="531">
        <v>2.1</v>
      </c>
      <c r="B52" s="527" t="s">
        <v>866</v>
      </c>
      <c r="C52" s="528"/>
      <c r="D52" s="528"/>
      <c r="E52" s="528"/>
      <c r="F52" s="1034"/>
      <c r="G52" s="117"/>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c r="FR52" s="118"/>
      <c r="FS52" s="118"/>
      <c r="FT52" s="118"/>
      <c r="FU52" s="118"/>
      <c r="FV52" s="118"/>
      <c r="FW52" s="118"/>
      <c r="FX52" s="118"/>
      <c r="FY52" s="118"/>
      <c r="FZ52" s="118"/>
      <c r="GA52" s="118"/>
      <c r="GB52" s="118"/>
      <c r="GC52" s="118"/>
      <c r="GD52" s="118"/>
      <c r="GE52" s="118"/>
      <c r="GF52" s="118"/>
      <c r="GG52" s="118"/>
      <c r="GH52" s="118"/>
      <c r="GI52" s="118"/>
      <c r="GJ52" s="118"/>
      <c r="GK52" s="118"/>
      <c r="GL52" s="118"/>
      <c r="GM52" s="118"/>
      <c r="GN52" s="118"/>
      <c r="GO52" s="118"/>
      <c r="GP52" s="118"/>
    </row>
    <row r="53" spans="1:198" s="119" customFormat="1" ht="15.6">
      <c r="A53" s="529"/>
      <c r="B53" s="532" t="s">
        <v>867</v>
      </c>
      <c r="C53" s="528"/>
      <c r="D53" s="528"/>
      <c r="E53" s="528"/>
      <c r="F53" s="1034"/>
      <c r="G53" s="117"/>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c r="ET53" s="118"/>
      <c r="EU53" s="118"/>
      <c r="EV53" s="118"/>
      <c r="EW53" s="118"/>
      <c r="EX53" s="118"/>
      <c r="EY53" s="118"/>
      <c r="EZ53" s="118"/>
      <c r="FA53" s="118"/>
      <c r="FB53" s="118"/>
      <c r="FC53" s="118"/>
      <c r="FD53" s="118"/>
      <c r="FE53" s="118"/>
      <c r="FF53" s="118"/>
      <c r="FG53" s="118"/>
      <c r="FH53" s="118"/>
      <c r="FI53" s="118"/>
      <c r="FJ53" s="118"/>
      <c r="FK53" s="118"/>
      <c r="FL53" s="118"/>
      <c r="FM53" s="118"/>
      <c r="FN53" s="118"/>
      <c r="FO53" s="118"/>
      <c r="FP53" s="118"/>
      <c r="FQ53" s="118"/>
      <c r="FR53" s="118"/>
      <c r="FS53" s="118"/>
      <c r="FT53" s="118"/>
      <c r="FU53" s="118"/>
      <c r="FV53" s="118"/>
      <c r="FW53" s="118"/>
      <c r="FX53" s="118"/>
      <c r="FY53" s="118"/>
      <c r="FZ53" s="118"/>
      <c r="GA53" s="118"/>
      <c r="GB53" s="118"/>
      <c r="GC53" s="118"/>
      <c r="GD53" s="118"/>
      <c r="GE53" s="118"/>
      <c r="GF53" s="118"/>
      <c r="GG53" s="118"/>
      <c r="GH53" s="118"/>
      <c r="GI53" s="118"/>
      <c r="GJ53" s="118"/>
      <c r="GK53" s="118"/>
      <c r="GL53" s="118"/>
      <c r="GM53" s="118"/>
      <c r="GN53" s="118"/>
      <c r="GO53" s="118"/>
      <c r="GP53" s="118"/>
    </row>
    <row r="54" spans="1:198" s="129" customFormat="1" ht="15.6">
      <c r="A54" s="529"/>
      <c r="B54" s="532" t="s">
        <v>868</v>
      </c>
      <c r="C54" s="528"/>
      <c r="D54" s="528"/>
      <c r="E54" s="528"/>
      <c r="F54" s="1034"/>
      <c r="G54" s="127"/>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row>
    <row r="55" spans="1:198" s="119" customFormat="1" ht="28.8">
      <c r="A55" s="529"/>
      <c r="B55" s="532" t="s">
        <v>869</v>
      </c>
      <c r="C55" s="528"/>
      <c r="D55" s="528"/>
      <c r="E55" s="528"/>
      <c r="F55" s="1034"/>
      <c r="G55" s="117"/>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row>
    <row r="56" spans="1:198" s="133" customFormat="1" ht="15.6">
      <c r="A56" s="529"/>
      <c r="B56" s="532" t="s">
        <v>870</v>
      </c>
      <c r="C56" s="528"/>
      <c r="D56" s="528"/>
      <c r="E56" s="528"/>
      <c r="F56" s="1034"/>
      <c r="G56" s="132"/>
    </row>
    <row r="57" spans="1:198" s="119" customFormat="1" ht="16.2">
      <c r="A57" s="529" t="s">
        <v>442</v>
      </c>
      <c r="B57" s="530" t="s">
        <v>871</v>
      </c>
      <c r="C57" s="528" t="s">
        <v>331</v>
      </c>
      <c r="D57" s="528">
        <v>38</v>
      </c>
      <c r="E57" s="528"/>
      <c r="F57" s="1034">
        <f t="shared" si="0"/>
        <v>0</v>
      </c>
      <c r="G57" s="117"/>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row>
    <row r="58" spans="1:198" s="133" customFormat="1" ht="15.6">
      <c r="A58" s="529"/>
      <c r="B58" s="530"/>
      <c r="C58" s="528"/>
      <c r="D58" s="528"/>
      <c r="E58" s="528"/>
      <c r="F58" s="1034"/>
      <c r="G58" s="132"/>
    </row>
    <row r="59" spans="1:198" s="133" customFormat="1" ht="15.6">
      <c r="A59" s="526">
        <v>2.2000000000000002</v>
      </c>
      <c r="B59" s="527" t="s">
        <v>872</v>
      </c>
      <c r="C59" s="528"/>
      <c r="D59" s="528"/>
      <c r="E59" s="528"/>
      <c r="F59" s="1034"/>
      <c r="G59" s="132"/>
    </row>
    <row r="60" spans="1:198" s="133" customFormat="1" ht="28.8">
      <c r="A60" s="533"/>
      <c r="B60" s="532" t="s">
        <v>873</v>
      </c>
      <c r="C60" s="528"/>
      <c r="D60" s="528"/>
      <c r="E60" s="528"/>
      <c r="F60" s="1034"/>
      <c r="G60" s="132"/>
    </row>
    <row r="61" spans="1:198" s="133" customFormat="1" ht="15.6">
      <c r="A61" s="529"/>
      <c r="B61" s="532" t="s">
        <v>874</v>
      </c>
      <c r="C61" s="528"/>
      <c r="D61" s="528"/>
      <c r="E61" s="528"/>
      <c r="F61" s="1034"/>
      <c r="G61" s="132"/>
    </row>
    <row r="62" spans="1:198" s="133" customFormat="1" ht="27">
      <c r="A62" s="529" t="s">
        <v>440</v>
      </c>
      <c r="B62" s="530" t="s">
        <v>875</v>
      </c>
      <c r="C62" s="528" t="s">
        <v>332</v>
      </c>
      <c r="D62" s="528">
        <v>2</v>
      </c>
      <c r="E62" s="528"/>
      <c r="F62" s="1034">
        <f t="shared" si="0"/>
        <v>0</v>
      </c>
      <c r="G62" s="132"/>
    </row>
    <row r="63" spans="1:198" s="133" customFormat="1" ht="15.6">
      <c r="A63" s="529"/>
      <c r="B63" s="530"/>
      <c r="C63" s="528"/>
      <c r="D63" s="528"/>
      <c r="E63" s="528"/>
      <c r="F63" s="1034"/>
      <c r="G63" s="132"/>
    </row>
    <row r="64" spans="1:198" s="133" customFormat="1" ht="28.8">
      <c r="A64" s="526">
        <v>2.2999999999999998</v>
      </c>
      <c r="B64" s="534" t="s">
        <v>876</v>
      </c>
      <c r="C64" s="535"/>
      <c r="D64" s="535"/>
      <c r="E64" s="535"/>
      <c r="F64" s="1034"/>
      <c r="G64" s="132"/>
    </row>
    <row r="65" spans="1:7" s="133" customFormat="1" ht="15.6">
      <c r="A65" s="529" t="s">
        <v>455</v>
      </c>
      <c r="B65" s="530" t="s">
        <v>852</v>
      </c>
      <c r="C65" s="528" t="s">
        <v>853</v>
      </c>
      <c r="D65" s="528">
        <v>20</v>
      </c>
      <c r="E65" s="528"/>
      <c r="F65" s="1034">
        <f t="shared" si="0"/>
        <v>0</v>
      </c>
      <c r="G65" s="132"/>
    </row>
    <row r="66" spans="1:7" s="115" customFormat="1">
      <c r="A66" s="529" t="s">
        <v>455</v>
      </c>
      <c r="B66" s="530" t="s">
        <v>855</v>
      </c>
      <c r="C66" s="528" t="s">
        <v>853</v>
      </c>
      <c r="D66" s="528">
        <v>45</v>
      </c>
      <c r="E66" s="528"/>
      <c r="F66" s="1034">
        <f t="shared" si="0"/>
        <v>0</v>
      </c>
      <c r="G66" s="65"/>
    </row>
    <row r="67" spans="1:7" s="115" customFormat="1">
      <c r="A67" s="529"/>
      <c r="B67" s="530"/>
      <c r="C67" s="528"/>
      <c r="D67" s="528"/>
      <c r="E67" s="528"/>
      <c r="F67" s="1034"/>
      <c r="G67" s="65"/>
    </row>
    <row r="68" spans="1:7" s="133" customFormat="1" ht="15.6">
      <c r="A68" s="526">
        <v>3</v>
      </c>
      <c r="B68" s="527" t="s">
        <v>877</v>
      </c>
      <c r="C68" s="528"/>
      <c r="D68" s="528"/>
      <c r="E68" s="528"/>
      <c r="F68" s="1034"/>
      <c r="G68" s="132"/>
    </row>
    <row r="69" spans="1:7" s="133" customFormat="1" ht="15.6">
      <c r="A69" s="526">
        <v>3.1</v>
      </c>
      <c r="B69" s="527" t="s">
        <v>878</v>
      </c>
      <c r="C69" s="528"/>
      <c r="D69" s="528"/>
      <c r="E69" s="528"/>
      <c r="F69" s="1034"/>
      <c r="G69" s="132"/>
    </row>
    <row r="70" spans="1:7" s="133" customFormat="1" ht="158.4">
      <c r="A70" s="533"/>
      <c r="B70" s="532" t="s">
        <v>879</v>
      </c>
      <c r="C70" s="528"/>
      <c r="D70" s="528"/>
      <c r="E70" s="528"/>
      <c r="F70" s="1034"/>
      <c r="G70" s="132"/>
    </row>
    <row r="71" spans="1:7" s="133" customFormat="1" ht="16.2">
      <c r="A71" s="529" t="s">
        <v>319</v>
      </c>
      <c r="B71" s="530" t="s">
        <v>880</v>
      </c>
      <c r="C71" s="528" t="s">
        <v>331</v>
      </c>
      <c r="D71" s="528">
        <v>9</v>
      </c>
      <c r="E71" s="528"/>
      <c r="F71" s="1034">
        <f t="shared" si="0"/>
        <v>0</v>
      </c>
      <c r="G71" s="132"/>
    </row>
    <row r="72" spans="1:7" s="133" customFormat="1" ht="27">
      <c r="A72" s="529" t="s">
        <v>320</v>
      </c>
      <c r="B72" s="530" t="s">
        <v>881</v>
      </c>
      <c r="C72" s="528" t="s">
        <v>331</v>
      </c>
      <c r="D72" s="528">
        <v>9</v>
      </c>
      <c r="E72" s="528"/>
      <c r="F72" s="1034">
        <f t="shared" si="0"/>
        <v>0</v>
      </c>
      <c r="G72" s="132"/>
    </row>
    <row r="73" spans="1:7" s="133" customFormat="1" ht="15.6">
      <c r="A73" s="529" t="s">
        <v>321</v>
      </c>
      <c r="B73" s="530" t="s">
        <v>882</v>
      </c>
      <c r="C73" s="528" t="s">
        <v>285</v>
      </c>
      <c r="D73" s="528">
        <v>16</v>
      </c>
      <c r="E73" s="528"/>
      <c r="F73" s="1034">
        <f t="shared" si="0"/>
        <v>0</v>
      </c>
      <c r="G73" s="132"/>
    </row>
    <row r="74" spans="1:7" s="133" customFormat="1" ht="16.2">
      <c r="A74" s="529" t="s">
        <v>322</v>
      </c>
      <c r="B74" s="530" t="s">
        <v>883</v>
      </c>
      <c r="C74" s="528" t="s">
        <v>331</v>
      </c>
      <c r="D74" s="528">
        <v>4</v>
      </c>
      <c r="E74" s="528"/>
      <c r="F74" s="1034">
        <f t="shared" ref="F74:F130" si="2">D74*E74</f>
        <v>0</v>
      </c>
      <c r="G74" s="132"/>
    </row>
    <row r="75" spans="1:7" s="133" customFormat="1" ht="15.6">
      <c r="A75" s="519"/>
      <c r="B75" s="482" t="s">
        <v>227</v>
      </c>
      <c r="C75" s="481"/>
      <c r="D75" s="481"/>
      <c r="E75" s="481"/>
      <c r="F75" s="1036">
        <f>SUM(F50:F74)</f>
        <v>0</v>
      </c>
      <c r="G75" s="132"/>
    </row>
    <row r="76" spans="1:7" s="133" customFormat="1" ht="15.6">
      <c r="A76" s="483" t="s">
        <v>82</v>
      </c>
      <c r="B76" s="484" t="s">
        <v>7</v>
      </c>
      <c r="C76" s="485" t="s">
        <v>141</v>
      </c>
      <c r="D76" s="486" t="s">
        <v>142</v>
      </c>
      <c r="E76" s="487" t="s">
        <v>143</v>
      </c>
      <c r="F76" s="1037" t="s">
        <v>289</v>
      </c>
      <c r="G76" s="132"/>
    </row>
    <row r="77" spans="1:7" s="133" customFormat="1" ht="15.6">
      <c r="A77" s="488"/>
      <c r="B77" s="489" t="s">
        <v>224</v>
      </c>
      <c r="C77" s="490"/>
      <c r="D77" s="491"/>
      <c r="E77" s="492"/>
      <c r="F77" s="1036">
        <f>F75</f>
        <v>0</v>
      </c>
      <c r="G77" s="132"/>
    </row>
    <row r="78" spans="1:7" s="133" customFormat="1" ht="15.6">
      <c r="A78" s="529">
        <v>4</v>
      </c>
      <c r="B78" s="527" t="s">
        <v>884</v>
      </c>
      <c r="C78" s="528"/>
      <c r="D78" s="528"/>
      <c r="E78" s="528"/>
      <c r="F78" s="1034">
        <f t="shared" si="2"/>
        <v>0</v>
      </c>
      <c r="G78" s="132"/>
    </row>
    <row r="79" spans="1:7" s="133" customFormat="1" ht="15.6">
      <c r="A79" s="529"/>
      <c r="B79" s="527" t="s">
        <v>885</v>
      </c>
      <c r="C79" s="528"/>
      <c r="D79" s="528"/>
      <c r="E79" s="528"/>
      <c r="F79" s="1034">
        <f t="shared" si="2"/>
        <v>0</v>
      </c>
      <c r="G79" s="132"/>
    </row>
    <row r="80" spans="1:7" s="133" customFormat="1" ht="15.6">
      <c r="A80" s="526">
        <v>4.0999999999999996</v>
      </c>
      <c r="B80" s="527" t="s">
        <v>886</v>
      </c>
      <c r="C80" s="528"/>
      <c r="D80" s="528"/>
      <c r="E80" s="528"/>
      <c r="F80" s="1034">
        <f t="shared" si="2"/>
        <v>0</v>
      </c>
      <c r="G80" s="132"/>
    </row>
    <row r="81" spans="1:198" s="133" customFormat="1" ht="57.6">
      <c r="A81" s="529"/>
      <c r="B81" s="532" t="s">
        <v>887</v>
      </c>
      <c r="C81" s="528"/>
      <c r="D81" s="528"/>
      <c r="E81" s="528"/>
      <c r="F81" s="1034">
        <f t="shared" si="2"/>
        <v>0</v>
      </c>
      <c r="G81" s="132"/>
    </row>
    <row r="82" spans="1:198" s="133" customFormat="1" ht="15.6">
      <c r="A82" s="529" t="s">
        <v>888</v>
      </c>
      <c r="B82" s="530" t="s">
        <v>889</v>
      </c>
      <c r="C82" s="528" t="s">
        <v>117</v>
      </c>
      <c r="D82" s="528">
        <v>2</v>
      </c>
      <c r="E82" s="528"/>
      <c r="F82" s="1034">
        <f t="shared" si="2"/>
        <v>0</v>
      </c>
      <c r="G82" s="132"/>
    </row>
    <row r="83" spans="1:198" s="133" customFormat="1" ht="15.6">
      <c r="A83" s="529"/>
      <c r="B83" s="530"/>
      <c r="C83" s="528"/>
      <c r="D83" s="528"/>
      <c r="E83" s="528"/>
      <c r="F83" s="1034">
        <f t="shared" si="2"/>
        <v>0</v>
      </c>
      <c r="G83" s="132"/>
    </row>
    <row r="84" spans="1:198" s="133" customFormat="1" ht="15.6">
      <c r="A84" s="526">
        <v>4.2</v>
      </c>
      <c r="B84" s="527" t="s">
        <v>462</v>
      </c>
      <c r="C84" s="528"/>
      <c r="D84" s="528"/>
      <c r="E84" s="528"/>
      <c r="F84" s="1034">
        <f t="shared" si="2"/>
        <v>0</v>
      </c>
      <c r="G84" s="132"/>
    </row>
    <row r="85" spans="1:198" s="119" customFormat="1" ht="66.599999999999994">
      <c r="A85" s="529" t="s">
        <v>890</v>
      </c>
      <c r="B85" s="530" t="s">
        <v>891</v>
      </c>
      <c r="C85" s="528" t="s">
        <v>4</v>
      </c>
      <c r="D85" s="528">
        <v>2</v>
      </c>
      <c r="E85" s="528"/>
      <c r="F85" s="1034">
        <f t="shared" si="2"/>
        <v>0</v>
      </c>
      <c r="G85" s="117"/>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CY85" s="118"/>
      <c r="CZ85" s="118"/>
      <c r="DA85" s="118"/>
      <c r="DB85" s="118"/>
      <c r="DC85" s="118"/>
      <c r="DD85" s="118"/>
      <c r="DE85" s="118"/>
      <c r="DF85" s="118"/>
      <c r="DG85" s="118"/>
      <c r="DH85" s="118"/>
      <c r="DI85" s="118"/>
      <c r="DJ85" s="118"/>
      <c r="DK85" s="118"/>
      <c r="DL85" s="118"/>
      <c r="DM85" s="118"/>
      <c r="DN85" s="118"/>
      <c r="DO85" s="118"/>
      <c r="DP85" s="118"/>
      <c r="DQ85" s="118"/>
      <c r="DR85" s="118"/>
      <c r="DS85" s="118"/>
      <c r="DT85" s="118"/>
      <c r="DU85" s="118"/>
      <c r="DV85" s="118"/>
      <c r="DW85" s="118"/>
      <c r="DX85" s="118"/>
      <c r="DY85" s="118"/>
      <c r="DZ85" s="118"/>
      <c r="EA85" s="118"/>
      <c r="EB85" s="118"/>
      <c r="EC85" s="118"/>
      <c r="ED85" s="118"/>
      <c r="EE85" s="118"/>
      <c r="EF85" s="118"/>
      <c r="EG85" s="118"/>
      <c r="EH85" s="118"/>
      <c r="EI85" s="118"/>
      <c r="EJ85" s="118"/>
      <c r="EK85" s="118"/>
      <c r="EL85" s="118"/>
      <c r="EM85" s="118"/>
      <c r="EN85" s="118"/>
      <c r="EO85" s="118"/>
      <c r="EP85" s="118"/>
      <c r="EQ85" s="118"/>
      <c r="ER85" s="118"/>
      <c r="ES85" s="118"/>
      <c r="ET85" s="118"/>
      <c r="EU85" s="118"/>
      <c r="EV85" s="118"/>
      <c r="EW85" s="118"/>
      <c r="EX85" s="118"/>
      <c r="EY85" s="118"/>
      <c r="EZ85" s="118"/>
      <c r="FA85" s="118"/>
      <c r="FB85" s="118"/>
      <c r="FC85" s="118"/>
      <c r="FD85" s="118"/>
      <c r="FE85" s="118"/>
      <c r="FF85" s="118"/>
      <c r="FG85" s="118"/>
      <c r="FH85" s="118"/>
      <c r="FI85" s="118"/>
      <c r="FJ85" s="118"/>
      <c r="FK85" s="118"/>
      <c r="FL85" s="118"/>
      <c r="FM85" s="118"/>
      <c r="FN85" s="118"/>
      <c r="FO85" s="118"/>
      <c r="FP85" s="118"/>
      <c r="FQ85" s="118"/>
      <c r="FR85" s="118"/>
      <c r="FS85" s="118"/>
      <c r="FT85" s="118"/>
      <c r="FU85" s="118"/>
      <c r="FV85" s="118"/>
      <c r="FW85" s="118"/>
      <c r="FX85" s="118"/>
      <c r="FY85" s="118"/>
      <c r="FZ85" s="118"/>
      <c r="GA85" s="118"/>
      <c r="GB85" s="118"/>
      <c r="GC85" s="118"/>
      <c r="GD85" s="118"/>
      <c r="GE85" s="118"/>
      <c r="GF85" s="118"/>
      <c r="GG85" s="118"/>
      <c r="GH85" s="118"/>
      <c r="GI85" s="118"/>
      <c r="GJ85" s="118"/>
      <c r="GK85" s="118"/>
      <c r="GL85" s="118"/>
      <c r="GM85" s="118"/>
      <c r="GN85" s="118"/>
      <c r="GO85" s="118"/>
      <c r="GP85" s="118"/>
    </row>
    <row r="86" spans="1:198" s="119" customFormat="1" ht="15.6">
      <c r="A86" s="529"/>
      <c r="B86" s="530"/>
      <c r="C86" s="528"/>
      <c r="D86" s="528"/>
      <c r="E86" s="528"/>
      <c r="F86" s="1034">
        <f t="shared" si="2"/>
        <v>0</v>
      </c>
      <c r="G86" s="117"/>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8"/>
      <c r="DZ86" s="118"/>
      <c r="EA86" s="118"/>
      <c r="EB86" s="118"/>
      <c r="EC86" s="118"/>
      <c r="ED86" s="118"/>
      <c r="EE86" s="118"/>
      <c r="EF86" s="118"/>
      <c r="EG86" s="118"/>
      <c r="EH86" s="118"/>
      <c r="EI86" s="118"/>
      <c r="EJ86" s="118"/>
      <c r="EK86" s="118"/>
      <c r="EL86" s="118"/>
      <c r="EM86" s="118"/>
      <c r="EN86" s="118"/>
      <c r="EO86" s="118"/>
      <c r="EP86" s="118"/>
      <c r="EQ86" s="118"/>
      <c r="ER86" s="118"/>
      <c r="ES86" s="118"/>
      <c r="ET86" s="118"/>
      <c r="EU86" s="118"/>
      <c r="EV86" s="118"/>
      <c r="EW86" s="118"/>
      <c r="EX86" s="118"/>
      <c r="EY86" s="118"/>
      <c r="EZ86" s="118"/>
      <c r="FA86" s="118"/>
      <c r="FB86" s="118"/>
      <c r="FC86" s="118"/>
      <c r="FD86" s="118"/>
      <c r="FE86" s="118"/>
      <c r="FF86" s="118"/>
      <c r="FG86" s="118"/>
      <c r="FH86" s="118"/>
      <c r="FI86" s="118"/>
      <c r="FJ86" s="118"/>
      <c r="FK86" s="118"/>
      <c r="FL86" s="118"/>
      <c r="FM86" s="118"/>
      <c r="FN86" s="118"/>
      <c r="FO86" s="118"/>
      <c r="FP86" s="118"/>
      <c r="FQ86" s="118"/>
      <c r="FR86" s="118"/>
      <c r="FS86" s="118"/>
      <c r="FT86" s="118"/>
      <c r="FU86" s="118"/>
      <c r="FV86" s="118"/>
      <c r="FW86" s="118"/>
      <c r="FX86" s="118"/>
      <c r="FY86" s="118"/>
      <c r="FZ86" s="118"/>
      <c r="GA86" s="118"/>
      <c r="GB86" s="118"/>
      <c r="GC86" s="118"/>
      <c r="GD86" s="118"/>
      <c r="GE86" s="118"/>
      <c r="GF86" s="118"/>
      <c r="GG86" s="118"/>
      <c r="GH86" s="118"/>
      <c r="GI86" s="118"/>
      <c r="GJ86" s="118"/>
      <c r="GK86" s="118"/>
      <c r="GL86" s="118"/>
      <c r="GM86" s="118"/>
      <c r="GN86" s="118"/>
      <c r="GO86" s="118"/>
      <c r="GP86" s="118"/>
    </row>
    <row r="87" spans="1:198" s="133" customFormat="1" ht="15.6">
      <c r="A87" s="526">
        <v>5</v>
      </c>
      <c r="B87" s="527" t="s">
        <v>892</v>
      </c>
      <c r="C87" s="528"/>
      <c r="D87" s="528"/>
      <c r="E87" s="528"/>
      <c r="F87" s="1034">
        <f t="shared" si="2"/>
        <v>0</v>
      </c>
      <c r="G87" s="132"/>
    </row>
    <row r="88" spans="1:198" s="133" customFormat="1" ht="15.6">
      <c r="A88" s="531">
        <v>5.0999999999999996</v>
      </c>
      <c r="B88" s="527" t="s">
        <v>893</v>
      </c>
      <c r="C88" s="528"/>
      <c r="D88" s="528"/>
      <c r="E88" s="528"/>
      <c r="F88" s="1034">
        <f t="shared" si="2"/>
        <v>0</v>
      </c>
      <c r="G88" s="132"/>
    </row>
    <row r="89" spans="1:198" s="133" customFormat="1" ht="15.6">
      <c r="A89" s="529"/>
      <c r="B89" s="532" t="s">
        <v>894</v>
      </c>
      <c r="C89" s="528"/>
      <c r="D89" s="528"/>
      <c r="E89" s="528"/>
      <c r="F89" s="1034">
        <f t="shared" si="2"/>
        <v>0</v>
      </c>
      <c r="G89" s="132"/>
    </row>
    <row r="90" spans="1:198" s="133" customFormat="1" ht="15.6">
      <c r="A90" s="529"/>
      <c r="B90" s="532" t="s">
        <v>895</v>
      </c>
      <c r="C90" s="528"/>
      <c r="D90" s="528"/>
      <c r="E90" s="528"/>
      <c r="F90" s="1034">
        <f t="shared" si="2"/>
        <v>0</v>
      </c>
      <c r="G90" s="132"/>
    </row>
    <row r="91" spans="1:198" s="133" customFormat="1" ht="16.2">
      <c r="A91" s="529" t="s">
        <v>896</v>
      </c>
      <c r="B91" s="530" t="s">
        <v>897</v>
      </c>
      <c r="C91" s="528" t="s">
        <v>331</v>
      </c>
      <c r="D91" s="528">
        <v>9</v>
      </c>
      <c r="E91" s="528"/>
      <c r="F91" s="1034">
        <f t="shared" si="2"/>
        <v>0</v>
      </c>
      <c r="G91" s="132"/>
    </row>
    <row r="92" spans="1:198" s="133" customFormat="1" ht="15.6">
      <c r="A92" s="529"/>
      <c r="B92" s="530"/>
      <c r="C92" s="528"/>
      <c r="D92" s="528"/>
      <c r="E92" s="528"/>
      <c r="F92" s="1034">
        <f t="shared" si="2"/>
        <v>0</v>
      </c>
      <c r="G92" s="132"/>
    </row>
    <row r="93" spans="1:198" s="133" customFormat="1" ht="15.6">
      <c r="A93" s="526">
        <v>5.2</v>
      </c>
      <c r="B93" s="527" t="s">
        <v>898</v>
      </c>
      <c r="C93" s="528"/>
      <c r="D93" s="528"/>
      <c r="E93" s="528"/>
      <c r="F93" s="1034">
        <f t="shared" si="2"/>
        <v>0</v>
      </c>
      <c r="G93" s="132"/>
    </row>
    <row r="94" spans="1:198" s="133" customFormat="1" ht="57.6">
      <c r="A94" s="529"/>
      <c r="B94" s="532" t="s">
        <v>899</v>
      </c>
      <c r="C94" s="528"/>
      <c r="D94" s="528"/>
      <c r="E94" s="528"/>
      <c r="F94" s="1034">
        <f t="shared" si="2"/>
        <v>0</v>
      </c>
      <c r="G94" s="132"/>
    </row>
    <row r="95" spans="1:198" s="133" customFormat="1" ht="16.2">
      <c r="A95" s="529" t="s">
        <v>611</v>
      </c>
      <c r="B95" s="530" t="s">
        <v>900</v>
      </c>
      <c r="C95" s="528" t="s">
        <v>331</v>
      </c>
      <c r="D95" s="528">
        <v>9</v>
      </c>
      <c r="E95" s="528"/>
      <c r="F95" s="1034">
        <f t="shared" si="2"/>
        <v>0</v>
      </c>
      <c r="G95" s="132"/>
    </row>
    <row r="96" spans="1:198" s="133" customFormat="1" ht="15.6">
      <c r="A96" s="529" t="s">
        <v>901</v>
      </c>
      <c r="B96" s="530" t="s">
        <v>902</v>
      </c>
      <c r="C96" s="528" t="s">
        <v>136</v>
      </c>
      <c r="D96" s="528">
        <v>11</v>
      </c>
      <c r="E96" s="528"/>
      <c r="F96" s="1034">
        <f t="shared" si="2"/>
        <v>0</v>
      </c>
      <c r="G96" s="132"/>
    </row>
    <row r="97" spans="1:198" s="129" customFormat="1" ht="15.6">
      <c r="A97" s="529"/>
      <c r="B97" s="530"/>
      <c r="C97" s="528"/>
      <c r="D97" s="528"/>
      <c r="E97" s="528"/>
      <c r="F97" s="1034">
        <f t="shared" si="2"/>
        <v>0</v>
      </c>
      <c r="G97" s="127"/>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c r="BY97" s="128"/>
      <c r="BZ97" s="128"/>
      <c r="CA97" s="128"/>
      <c r="CB97" s="128"/>
      <c r="CC97" s="128"/>
      <c r="CD97" s="128"/>
      <c r="CE97" s="128"/>
      <c r="CF97" s="128"/>
      <c r="CG97" s="128"/>
      <c r="CH97" s="128"/>
      <c r="CI97" s="128"/>
      <c r="CJ97" s="128"/>
      <c r="CK97" s="128"/>
      <c r="CL97" s="128"/>
      <c r="CM97" s="128"/>
      <c r="CN97" s="128"/>
      <c r="CO97" s="128"/>
      <c r="CP97" s="128"/>
      <c r="CQ97" s="128"/>
      <c r="CR97" s="128"/>
      <c r="CS97" s="128"/>
      <c r="CT97" s="128"/>
      <c r="CU97" s="128"/>
      <c r="CV97" s="128"/>
      <c r="CW97" s="128"/>
      <c r="CX97" s="128"/>
      <c r="CY97" s="128"/>
      <c r="CZ97" s="128"/>
      <c r="DA97" s="128"/>
      <c r="DB97" s="128"/>
      <c r="DC97" s="128"/>
      <c r="DD97" s="128"/>
      <c r="DE97" s="128"/>
      <c r="DF97" s="128"/>
      <c r="DG97" s="128"/>
      <c r="DH97" s="128"/>
      <c r="DI97" s="128"/>
      <c r="DJ97" s="128"/>
      <c r="DK97" s="128"/>
      <c r="DL97" s="128"/>
      <c r="DM97" s="128"/>
      <c r="DN97" s="128"/>
      <c r="DO97" s="128"/>
      <c r="DP97" s="128"/>
      <c r="DQ97" s="128"/>
      <c r="DR97" s="128"/>
      <c r="DS97" s="128"/>
      <c r="DT97" s="128"/>
      <c r="DU97" s="128"/>
      <c r="DV97" s="128"/>
      <c r="DW97" s="128"/>
      <c r="DX97" s="128"/>
      <c r="DY97" s="128"/>
      <c r="DZ97" s="128"/>
      <c r="EA97" s="128"/>
      <c r="EB97" s="128"/>
      <c r="EC97" s="128"/>
      <c r="ED97" s="128"/>
      <c r="EE97" s="128"/>
      <c r="EF97" s="128"/>
      <c r="EG97" s="128"/>
      <c r="EH97" s="128"/>
      <c r="EI97" s="128"/>
      <c r="EJ97" s="128"/>
      <c r="EK97" s="128"/>
      <c r="EL97" s="128"/>
      <c r="EM97" s="128"/>
      <c r="EN97" s="128"/>
      <c r="EO97" s="128"/>
      <c r="EP97" s="128"/>
      <c r="EQ97" s="128"/>
      <c r="ER97" s="128"/>
      <c r="ES97" s="128"/>
      <c r="ET97" s="128"/>
      <c r="EU97" s="128"/>
      <c r="EV97" s="128"/>
      <c r="EW97" s="128"/>
      <c r="EX97" s="128"/>
      <c r="EY97" s="128"/>
      <c r="EZ97" s="128"/>
      <c r="FA97" s="128"/>
      <c r="FB97" s="128"/>
      <c r="FC97" s="128"/>
      <c r="FD97" s="128"/>
      <c r="FE97" s="128"/>
      <c r="FF97" s="128"/>
      <c r="FG97" s="128"/>
      <c r="FH97" s="128"/>
      <c r="FI97" s="128"/>
      <c r="FJ97" s="128"/>
      <c r="FK97" s="128"/>
      <c r="FL97" s="128"/>
      <c r="FM97" s="128"/>
      <c r="FN97" s="128"/>
      <c r="FO97" s="128"/>
      <c r="FP97" s="128"/>
      <c r="FQ97" s="128"/>
      <c r="FR97" s="128"/>
      <c r="FS97" s="128"/>
      <c r="FT97" s="128"/>
      <c r="FU97" s="128"/>
      <c r="FV97" s="128"/>
      <c r="FW97" s="128"/>
      <c r="FX97" s="128"/>
      <c r="FY97" s="128"/>
      <c r="FZ97" s="128"/>
      <c r="GA97" s="128"/>
      <c r="GB97" s="128"/>
      <c r="GC97" s="128"/>
      <c r="GD97" s="128"/>
      <c r="GE97" s="128"/>
      <c r="GF97" s="128"/>
      <c r="GG97" s="128"/>
      <c r="GH97" s="128"/>
      <c r="GI97" s="128"/>
      <c r="GJ97" s="128"/>
      <c r="GK97" s="128"/>
      <c r="GL97" s="128"/>
      <c r="GM97" s="128"/>
      <c r="GN97" s="128"/>
      <c r="GO97" s="128"/>
      <c r="GP97" s="128"/>
    </row>
    <row r="98" spans="1:198" s="119" customFormat="1" ht="15.6">
      <c r="A98" s="526">
        <v>5.3</v>
      </c>
      <c r="B98" s="527" t="s">
        <v>903</v>
      </c>
      <c r="C98" s="528"/>
      <c r="D98" s="528"/>
      <c r="E98" s="528"/>
      <c r="F98" s="1034">
        <f t="shared" si="2"/>
        <v>0</v>
      </c>
      <c r="G98" s="117"/>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c r="DC98" s="118"/>
      <c r="DD98" s="118"/>
      <c r="DE98" s="118"/>
      <c r="DF98" s="118"/>
      <c r="DG98" s="118"/>
      <c r="DH98" s="118"/>
      <c r="DI98" s="118"/>
      <c r="DJ98" s="118"/>
      <c r="DK98" s="118"/>
      <c r="DL98" s="118"/>
      <c r="DM98" s="118"/>
      <c r="DN98" s="118"/>
      <c r="DO98" s="118"/>
      <c r="DP98" s="118"/>
      <c r="DQ98" s="118"/>
      <c r="DR98" s="118"/>
      <c r="DS98" s="118"/>
      <c r="DT98" s="118"/>
      <c r="DU98" s="118"/>
      <c r="DV98" s="118"/>
      <c r="DW98" s="118"/>
      <c r="DX98" s="118"/>
      <c r="DY98" s="118"/>
      <c r="DZ98" s="118"/>
      <c r="EA98" s="118"/>
      <c r="EB98" s="118"/>
      <c r="EC98" s="118"/>
      <c r="ED98" s="118"/>
      <c r="EE98" s="118"/>
      <c r="EF98" s="118"/>
      <c r="EG98" s="118"/>
      <c r="EH98" s="118"/>
      <c r="EI98" s="118"/>
      <c r="EJ98" s="118"/>
      <c r="EK98" s="118"/>
      <c r="EL98" s="118"/>
      <c r="EM98" s="118"/>
      <c r="EN98" s="118"/>
      <c r="EO98" s="118"/>
      <c r="EP98" s="118"/>
      <c r="EQ98" s="118"/>
      <c r="ER98" s="118"/>
      <c r="ES98" s="118"/>
      <c r="ET98" s="118"/>
      <c r="EU98" s="118"/>
      <c r="EV98" s="118"/>
      <c r="EW98" s="118"/>
      <c r="EX98" s="118"/>
      <c r="EY98" s="118"/>
      <c r="EZ98" s="118"/>
      <c r="FA98" s="118"/>
      <c r="FB98" s="118"/>
      <c r="FC98" s="118"/>
      <c r="FD98" s="118"/>
      <c r="FE98" s="118"/>
      <c r="FF98" s="118"/>
      <c r="FG98" s="118"/>
      <c r="FH98" s="118"/>
      <c r="FI98" s="118"/>
      <c r="FJ98" s="118"/>
      <c r="FK98" s="118"/>
      <c r="FL98" s="118"/>
      <c r="FM98" s="118"/>
      <c r="FN98" s="118"/>
      <c r="FO98" s="118"/>
      <c r="FP98" s="118"/>
      <c r="FQ98" s="118"/>
      <c r="FR98" s="118"/>
      <c r="FS98" s="118"/>
      <c r="FT98" s="118"/>
      <c r="FU98" s="118"/>
      <c r="FV98" s="118"/>
      <c r="FW98" s="118"/>
      <c r="FX98" s="118"/>
      <c r="FY98" s="118"/>
      <c r="FZ98" s="118"/>
      <c r="GA98" s="118"/>
      <c r="GB98" s="118"/>
      <c r="GC98" s="118"/>
      <c r="GD98" s="118"/>
      <c r="GE98" s="118"/>
      <c r="GF98" s="118"/>
      <c r="GG98" s="118"/>
      <c r="GH98" s="118"/>
      <c r="GI98" s="118"/>
      <c r="GJ98" s="118"/>
      <c r="GK98" s="118"/>
      <c r="GL98" s="118"/>
      <c r="GM98" s="118"/>
      <c r="GN98" s="118"/>
      <c r="GO98" s="118"/>
      <c r="GP98" s="118"/>
    </row>
    <row r="99" spans="1:198" s="129" customFormat="1" ht="28.8">
      <c r="A99" s="533"/>
      <c r="B99" s="532" t="s">
        <v>904</v>
      </c>
      <c r="C99" s="528"/>
      <c r="D99" s="528"/>
      <c r="E99" s="528"/>
      <c r="F99" s="1034">
        <f t="shared" si="2"/>
        <v>0</v>
      </c>
      <c r="G99" s="127"/>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28"/>
      <c r="BM99" s="128"/>
      <c r="BN99" s="128"/>
      <c r="BO99" s="128"/>
      <c r="BP99" s="128"/>
      <c r="BQ99" s="128"/>
      <c r="BR99" s="128"/>
      <c r="BS99" s="128"/>
      <c r="BT99" s="128"/>
      <c r="BU99" s="128"/>
      <c r="BV99" s="128"/>
      <c r="BW99" s="128"/>
      <c r="BX99" s="128"/>
      <c r="BY99" s="128"/>
      <c r="BZ99" s="128"/>
      <c r="CA99" s="128"/>
      <c r="CB99" s="128"/>
      <c r="CC99" s="128"/>
      <c r="CD99" s="128"/>
      <c r="CE99" s="128"/>
      <c r="CF99" s="128"/>
      <c r="CG99" s="128"/>
      <c r="CH99" s="128"/>
      <c r="CI99" s="128"/>
      <c r="CJ99" s="128"/>
      <c r="CK99" s="128"/>
      <c r="CL99" s="128"/>
      <c r="CM99" s="128"/>
      <c r="CN99" s="128"/>
      <c r="CO99" s="128"/>
      <c r="CP99" s="128"/>
      <c r="CQ99" s="128"/>
      <c r="CR99" s="128"/>
      <c r="CS99" s="128"/>
      <c r="CT99" s="128"/>
      <c r="CU99" s="128"/>
      <c r="CV99" s="128"/>
      <c r="CW99" s="128"/>
      <c r="CX99" s="128"/>
      <c r="CY99" s="128"/>
      <c r="CZ99" s="128"/>
      <c r="DA99" s="128"/>
      <c r="DB99" s="128"/>
      <c r="DC99" s="128"/>
      <c r="DD99" s="128"/>
      <c r="DE99" s="128"/>
      <c r="DF99" s="128"/>
      <c r="DG99" s="128"/>
      <c r="DH99" s="128"/>
      <c r="DI99" s="128"/>
      <c r="DJ99" s="128"/>
      <c r="DK99" s="128"/>
      <c r="DL99" s="128"/>
      <c r="DM99" s="128"/>
      <c r="DN99" s="128"/>
      <c r="DO99" s="128"/>
      <c r="DP99" s="128"/>
      <c r="DQ99" s="128"/>
      <c r="DR99" s="128"/>
      <c r="DS99" s="128"/>
      <c r="DT99" s="128"/>
      <c r="DU99" s="128"/>
      <c r="DV99" s="128"/>
      <c r="DW99" s="128"/>
      <c r="DX99" s="128"/>
      <c r="DY99" s="128"/>
      <c r="DZ99" s="128"/>
      <c r="EA99" s="128"/>
      <c r="EB99" s="128"/>
      <c r="EC99" s="128"/>
      <c r="ED99" s="128"/>
      <c r="EE99" s="128"/>
      <c r="EF99" s="128"/>
      <c r="EG99" s="128"/>
      <c r="EH99" s="128"/>
      <c r="EI99" s="128"/>
      <c r="EJ99" s="128"/>
      <c r="EK99" s="128"/>
      <c r="EL99" s="128"/>
      <c r="EM99" s="128"/>
      <c r="EN99" s="128"/>
      <c r="EO99" s="128"/>
      <c r="EP99" s="128"/>
      <c r="EQ99" s="128"/>
      <c r="ER99" s="128"/>
      <c r="ES99" s="128"/>
      <c r="ET99" s="128"/>
      <c r="EU99" s="128"/>
      <c r="EV99" s="128"/>
      <c r="EW99" s="128"/>
      <c r="EX99" s="128"/>
      <c r="EY99" s="128"/>
      <c r="EZ99" s="128"/>
      <c r="FA99" s="128"/>
      <c r="FB99" s="128"/>
      <c r="FC99" s="128"/>
      <c r="FD99" s="128"/>
      <c r="FE99" s="128"/>
      <c r="FF99" s="128"/>
      <c r="FG99" s="128"/>
      <c r="FH99" s="128"/>
      <c r="FI99" s="128"/>
      <c r="FJ99" s="128"/>
      <c r="FK99" s="128"/>
      <c r="FL99" s="128"/>
      <c r="FM99" s="128"/>
      <c r="FN99" s="128"/>
      <c r="FO99" s="128"/>
      <c r="FP99" s="128"/>
      <c r="FQ99" s="128"/>
      <c r="FR99" s="128"/>
      <c r="FS99" s="128"/>
      <c r="FT99" s="128"/>
      <c r="FU99" s="128"/>
      <c r="FV99" s="128"/>
      <c r="FW99" s="128"/>
      <c r="FX99" s="128"/>
      <c r="FY99" s="128"/>
      <c r="FZ99" s="128"/>
      <c r="GA99" s="128"/>
      <c r="GB99" s="128"/>
      <c r="GC99" s="128"/>
      <c r="GD99" s="128"/>
      <c r="GE99" s="128"/>
      <c r="GF99" s="128"/>
      <c r="GG99" s="128"/>
      <c r="GH99" s="128"/>
      <c r="GI99" s="128"/>
      <c r="GJ99" s="128"/>
      <c r="GK99" s="128"/>
      <c r="GL99" s="128"/>
      <c r="GM99" s="128"/>
      <c r="GN99" s="128"/>
      <c r="GO99" s="128"/>
      <c r="GP99" s="128"/>
    </row>
    <row r="100" spans="1:198" s="133" customFormat="1" ht="15.6">
      <c r="A100" s="529"/>
      <c r="B100" s="532" t="s">
        <v>905</v>
      </c>
      <c r="C100" s="528"/>
      <c r="D100" s="528"/>
      <c r="E100" s="528"/>
      <c r="F100" s="1034">
        <f t="shared" si="2"/>
        <v>0</v>
      </c>
      <c r="G100" s="132"/>
    </row>
    <row r="101" spans="1:198" s="133" customFormat="1" ht="16.2">
      <c r="A101" s="529" t="s">
        <v>649</v>
      </c>
      <c r="B101" s="530" t="s">
        <v>906</v>
      </c>
      <c r="C101" s="528" t="s">
        <v>331</v>
      </c>
      <c r="D101" s="528">
        <v>76</v>
      </c>
      <c r="E101" s="528"/>
      <c r="F101" s="1034">
        <f t="shared" si="2"/>
        <v>0</v>
      </c>
      <c r="G101" s="132"/>
    </row>
    <row r="102" spans="1:198" s="133" customFormat="1" ht="15.6">
      <c r="A102" s="529"/>
      <c r="B102" s="530"/>
      <c r="C102" s="528"/>
      <c r="D102" s="528"/>
      <c r="E102" s="528"/>
      <c r="F102" s="1034">
        <f t="shared" si="2"/>
        <v>0</v>
      </c>
      <c r="G102" s="132"/>
    </row>
    <row r="103" spans="1:198" s="133" customFormat="1" ht="15.6">
      <c r="A103" s="526">
        <v>5.4</v>
      </c>
      <c r="B103" s="527" t="s">
        <v>907</v>
      </c>
      <c r="C103" s="528"/>
      <c r="D103" s="528"/>
      <c r="E103" s="528"/>
      <c r="F103" s="1034">
        <f t="shared" si="2"/>
        <v>0</v>
      </c>
      <c r="G103" s="132"/>
    </row>
    <row r="104" spans="1:198" s="145" customFormat="1" ht="28.8">
      <c r="A104" s="533"/>
      <c r="B104" s="532" t="s">
        <v>908</v>
      </c>
      <c r="C104" s="528"/>
      <c r="D104" s="528"/>
      <c r="E104" s="528"/>
      <c r="F104" s="1034">
        <f t="shared" si="2"/>
        <v>0</v>
      </c>
      <c r="G104" s="144"/>
    </row>
    <row r="105" spans="1:198" s="152" customFormat="1">
      <c r="A105" s="529"/>
      <c r="B105" s="532" t="s">
        <v>909</v>
      </c>
      <c r="C105" s="528"/>
      <c r="D105" s="528"/>
      <c r="E105" s="528"/>
      <c r="F105" s="1034">
        <f t="shared" si="2"/>
        <v>0</v>
      </c>
      <c r="G105" s="151"/>
    </row>
    <row r="106" spans="1:198" s="52" customFormat="1" ht="16.2">
      <c r="A106" s="536" t="s">
        <v>651</v>
      </c>
      <c r="B106" s="537" t="s">
        <v>910</v>
      </c>
      <c r="C106" s="538" t="s">
        <v>911</v>
      </c>
      <c r="D106" s="538">
        <v>38</v>
      </c>
      <c r="E106" s="539"/>
      <c r="F106" s="1034">
        <f t="shared" si="2"/>
        <v>0</v>
      </c>
      <c r="G106" s="77"/>
    </row>
    <row r="107" spans="1:198" s="159" customFormat="1" ht="16.2">
      <c r="A107" s="536" t="s">
        <v>652</v>
      </c>
      <c r="B107" s="537" t="s">
        <v>912</v>
      </c>
      <c r="C107" s="538" t="s">
        <v>911</v>
      </c>
      <c r="D107" s="538">
        <v>38</v>
      </c>
      <c r="E107" s="539"/>
      <c r="F107" s="1034">
        <f t="shared" si="2"/>
        <v>0</v>
      </c>
      <c r="G107" s="158"/>
    </row>
    <row r="108" spans="1:198" s="165" customFormat="1" ht="15.6">
      <c r="A108" s="540"/>
      <c r="B108" s="541"/>
      <c r="C108" s="542"/>
      <c r="D108" s="542"/>
      <c r="E108" s="543"/>
      <c r="F108" s="1034">
        <f t="shared" si="2"/>
        <v>0</v>
      </c>
      <c r="G108" s="164"/>
    </row>
    <row r="109" spans="1:198" s="165" customFormat="1" ht="43.2">
      <c r="A109" s="544">
        <v>5.6</v>
      </c>
      <c r="B109" s="537" t="s">
        <v>913</v>
      </c>
      <c r="C109" s="538" t="s">
        <v>911</v>
      </c>
      <c r="D109" s="538">
        <v>5</v>
      </c>
      <c r="E109" s="539"/>
      <c r="F109" s="1034">
        <f t="shared" si="2"/>
        <v>0</v>
      </c>
      <c r="G109" s="164"/>
    </row>
    <row r="110" spans="1:198" s="165" customFormat="1" ht="15.6">
      <c r="A110" s="550"/>
      <c r="B110" s="551"/>
      <c r="C110" s="552"/>
      <c r="D110" s="552"/>
      <c r="E110" s="553"/>
      <c r="F110" s="1034">
        <f t="shared" si="2"/>
        <v>0</v>
      </c>
      <c r="G110" s="164"/>
    </row>
    <row r="111" spans="1:198" s="165" customFormat="1" ht="15.6">
      <c r="A111" s="519"/>
      <c r="B111" s="493" t="s">
        <v>490</v>
      </c>
      <c r="C111" s="481"/>
      <c r="D111" s="481"/>
      <c r="E111" s="481"/>
      <c r="F111" s="1036">
        <f>SUM(F77:F110)</f>
        <v>0</v>
      </c>
      <c r="G111" s="164"/>
    </row>
    <row r="112" spans="1:198" s="165" customFormat="1" ht="15.6">
      <c r="A112" s="483" t="s">
        <v>82</v>
      </c>
      <c r="B112" s="484" t="s">
        <v>7</v>
      </c>
      <c r="C112" s="485" t="s">
        <v>141</v>
      </c>
      <c r="D112" s="486" t="s">
        <v>142</v>
      </c>
      <c r="E112" s="487" t="s">
        <v>143</v>
      </c>
      <c r="F112" s="1037" t="s">
        <v>289</v>
      </c>
      <c r="G112" s="164"/>
    </row>
    <row r="113" spans="1:7" s="165" customFormat="1" ht="31.2">
      <c r="A113" s="494"/>
      <c r="B113" s="506" t="s">
        <v>491</v>
      </c>
      <c r="C113" s="501"/>
      <c r="D113" s="502"/>
      <c r="E113" s="501"/>
      <c r="F113" s="1036"/>
      <c r="G113" s="164"/>
    </row>
    <row r="114" spans="1:7" s="165" customFormat="1" ht="15.6">
      <c r="A114" s="520"/>
      <c r="B114" s="500"/>
      <c r="C114" s="496"/>
      <c r="D114" s="497"/>
      <c r="E114" s="498"/>
      <c r="F114" s="1034"/>
      <c r="G114" s="164"/>
    </row>
    <row r="115" spans="1:7" s="165" customFormat="1" ht="15.6">
      <c r="A115" s="499"/>
      <c r="B115" s="500" t="s">
        <v>122</v>
      </c>
      <c r="C115" s="501"/>
      <c r="D115" s="502"/>
      <c r="E115" s="501"/>
      <c r="F115" s="1034"/>
      <c r="G115" s="164"/>
    </row>
    <row r="116" spans="1:7" s="165" customFormat="1" ht="62.4">
      <c r="A116" s="499"/>
      <c r="B116" s="524" t="s">
        <v>280</v>
      </c>
      <c r="C116" s="503"/>
      <c r="D116" s="502"/>
      <c r="E116" s="501"/>
      <c r="F116" s="1034"/>
      <c r="G116" s="164"/>
    </row>
    <row r="117" spans="1:7" s="165" customFormat="1" ht="15.6">
      <c r="A117" s="499" t="s">
        <v>528</v>
      </c>
      <c r="B117" s="504" t="s">
        <v>507</v>
      </c>
      <c r="C117" s="503" t="s">
        <v>4</v>
      </c>
      <c r="D117" s="503">
        <v>4</v>
      </c>
      <c r="E117" s="501"/>
      <c r="F117" s="1034">
        <f t="shared" si="2"/>
        <v>0</v>
      </c>
      <c r="G117" s="164"/>
    </row>
    <row r="118" spans="1:7" s="165" customFormat="1" ht="15.6">
      <c r="A118" s="499"/>
      <c r="B118" s="505" t="s">
        <v>123</v>
      </c>
      <c r="C118" s="503"/>
      <c r="D118" s="503"/>
      <c r="E118" s="501"/>
      <c r="F118" s="1034"/>
      <c r="G118" s="164"/>
    </row>
    <row r="119" spans="1:7" s="165" customFormat="1" ht="15.6">
      <c r="A119" s="499" t="s">
        <v>529</v>
      </c>
      <c r="B119" s="504" t="s">
        <v>124</v>
      </c>
      <c r="C119" s="503" t="s">
        <v>117</v>
      </c>
      <c r="D119" s="503">
        <v>4</v>
      </c>
      <c r="E119" s="501"/>
      <c r="F119" s="1034">
        <f t="shared" si="2"/>
        <v>0</v>
      </c>
      <c r="G119" s="164"/>
    </row>
    <row r="120" spans="1:7" s="165" customFormat="1" ht="15.6">
      <c r="A120" s="499"/>
      <c r="B120" s="506" t="s">
        <v>125</v>
      </c>
      <c r="C120" s="501"/>
      <c r="D120" s="502"/>
      <c r="E120" s="501"/>
      <c r="F120" s="1034"/>
      <c r="G120" s="164"/>
    </row>
    <row r="121" spans="1:7" s="165" customFormat="1" ht="124.8">
      <c r="A121" s="499"/>
      <c r="B121" s="507" t="s">
        <v>437</v>
      </c>
      <c r="C121" s="503"/>
      <c r="D121" s="502"/>
      <c r="E121" s="501"/>
      <c r="F121" s="1034"/>
      <c r="G121" s="164"/>
    </row>
    <row r="122" spans="1:7" s="165" customFormat="1" ht="15.6">
      <c r="A122" s="499"/>
      <c r="B122" s="508" t="s">
        <v>126</v>
      </c>
      <c r="C122" s="503"/>
      <c r="D122" s="502"/>
      <c r="E122" s="501"/>
      <c r="F122" s="1034"/>
      <c r="G122" s="164"/>
    </row>
    <row r="123" spans="1:7" s="165" customFormat="1" ht="15.6">
      <c r="A123" s="499" t="s">
        <v>530</v>
      </c>
      <c r="B123" s="508" t="s">
        <v>127</v>
      </c>
      <c r="C123" s="503" t="s">
        <v>117</v>
      </c>
      <c r="D123" s="502">
        <v>5</v>
      </c>
      <c r="E123" s="501"/>
      <c r="F123" s="1034">
        <f t="shared" si="2"/>
        <v>0</v>
      </c>
      <c r="G123" s="164"/>
    </row>
    <row r="124" spans="1:7" s="103" customFormat="1" ht="15.6">
      <c r="A124" s="499"/>
      <c r="B124" s="505" t="s">
        <v>128</v>
      </c>
      <c r="C124" s="501"/>
      <c r="D124" s="502"/>
      <c r="E124" s="501"/>
      <c r="F124" s="1034"/>
      <c r="G124" s="179"/>
    </row>
    <row r="125" spans="1:7" ht="93.6">
      <c r="A125" s="499"/>
      <c r="B125" s="504" t="s">
        <v>508</v>
      </c>
      <c r="C125" s="503"/>
      <c r="D125" s="502"/>
      <c r="E125" s="501"/>
      <c r="F125" s="1034"/>
      <c r="G125" s="65"/>
    </row>
    <row r="126" spans="1:7" ht="15.6">
      <c r="A126" s="499" t="s">
        <v>531</v>
      </c>
      <c r="B126" s="508" t="s">
        <v>129</v>
      </c>
      <c r="C126" s="503" t="s">
        <v>130</v>
      </c>
      <c r="D126" s="502">
        <v>60</v>
      </c>
      <c r="E126" s="501"/>
      <c r="F126" s="1034">
        <f t="shared" si="2"/>
        <v>0</v>
      </c>
      <c r="G126" s="65"/>
    </row>
    <row r="127" spans="1:7" ht="46.8">
      <c r="A127" s="521"/>
      <c r="B127" s="495" t="s">
        <v>509</v>
      </c>
      <c r="C127" s="509"/>
      <c r="D127" s="502"/>
      <c r="E127" s="501"/>
      <c r="F127" s="1034"/>
      <c r="G127" s="65"/>
    </row>
    <row r="128" spans="1:7" ht="15.6">
      <c r="A128" s="521" t="s">
        <v>532</v>
      </c>
      <c r="B128" s="510" t="s">
        <v>131</v>
      </c>
      <c r="C128" s="509" t="s">
        <v>132</v>
      </c>
      <c r="D128" s="502">
        <v>2</v>
      </c>
      <c r="E128" s="501"/>
      <c r="F128" s="1034">
        <f t="shared" si="2"/>
        <v>0</v>
      </c>
      <c r="G128" s="65"/>
    </row>
    <row r="129" spans="1:7" ht="46.8">
      <c r="A129" s="521"/>
      <c r="B129" s="511" t="s">
        <v>510</v>
      </c>
      <c r="C129" s="503"/>
      <c r="D129" s="502"/>
      <c r="E129" s="501"/>
      <c r="F129" s="1034"/>
      <c r="G129" s="65"/>
    </row>
    <row r="130" spans="1:7" ht="93.6">
      <c r="A130" s="521" t="s">
        <v>533</v>
      </c>
      <c r="B130" s="510" t="s">
        <v>438</v>
      </c>
      <c r="C130" s="509" t="s">
        <v>439</v>
      </c>
      <c r="D130" s="502">
        <v>1</v>
      </c>
      <c r="E130" s="501"/>
      <c r="F130" s="1034">
        <f t="shared" si="2"/>
        <v>0</v>
      </c>
      <c r="G130" s="65"/>
    </row>
    <row r="131" spans="1:7" ht="15.6">
      <c r="A131" s="520"/>
      <c r="B131" s="512" t="s">
        <v>492</v>
      </c>
      <c r="C131" s="513"/>
      <c r="D131" s="514"/>
      <c r="E131" s="515"/>
      <c r="F131" s="1036">
        <f>SUM(F113:F130)</f>
        <v>0</v>
      </c>
      <c r="G131" s="65"/>
    </row>
    <row r="132" spans="1:7">
      <c r="A132" s="522"/>
      <c r="B132" s="516"/>
      <c r="C132" s="516"/>
      <c r="D132" s="516"/>
      <c r="E132" s="516"/>
      <c r="F132" s="1037" t="s">
        <v>289</v>
      </c>
      <c r="G132" s="65"/>
    </row>
    <row r="133" spans="1:7">
      <c r="A133" s="522"/>
      <c r="B133" s="517" t="s">
        <v>461</v>
      </c>
      <c r="C133" s="516"/>
      <c r="D133" s="516"/>
      <c r="E133" s="516"/>
      <c r="F133" s="705"/>
      <c r="G133" s="65"/>
    </row>
    <row r="134" spans="1:7">
      <c r="A134" s="522"/>
      <c r="B134" s="516"/>
      <c r="C134" s="516"/>
      <c r="D134" s="516"/>
      <c r="E134" s="516"/>
      <c r="F134" s="705"/>
      <c r="G134" s="65"/>
    </row>
    <row r="135" spans="1:7">
      <c r="A135" s="522">
        <v>1</v>
      </c>
      <c r="B135" s="516" t="s">
        <v>825</v>
      </c>
      <c r="C135" s="516"/>
      <c r="D135" s="516"/>
      <c r="E135" s="516"/>
      <c r="F135" s="705">
        <f>F48</f>
        <v>0</v>
      </c>
      <c r="G135" s="65"/>
    </row>
    <row r="136" spans="1:7" s="104" customFormat="1">
      <c r="A136" s="522"/>
      <c r="B136" s="516"/>
      <c r="C136" s="516"/>
      <c r="D136" s="516"/>
      <c r="E136" s="516"/>
      <c r="F136" s="705"/>
      <c r="G136" s="191"/>
    </row>
    <row r="137" spans="1:7">
      <c r="A137" s="522">
        <v>4</v>
      </c>
      <c r="B137" s="516" t="s">
        <v>865</v>
      </c>
      <c r="C137" s="516"/>
      <c r="D137" s="516"/>
      <c r="E137" s="516"/>
      <c r="F137" s="705">
        <f>F111</f>
        <v>0</v>
      </c>
    </row>
    <row r="138" spans="1:7">
      <c r="A138" s="522"/>
      <c r="B138" s="516"/>
      <c r="C138" s="516"/>
      <c r="D138" s="516"/>
      <c r="E138" s="516"/>
      <c r="F138" s="705"/>
    </row>
    <row r="139" spans="1:7">
      <c r="A139" s="522">
        <v>3</v>
      </c>
      <c r="B139" s="525" t="s">
        <v>491</v>
      </c>
      <c r="C139" s="516"/>
      <c r="D139" s="516"/>
      <c r="E139" s="516"/>
      <c r="F139" s="705">
        <f>F131</f>
        <v>0</v>
      </c>
    </row>
    <row r="140" spans="1:7">
      <c r="A140" s="522"/>
      <c r="B140" s="516"/>
      <c r="C140" s="516"/>
      <c r="D140" s="516"/>
      <c r="E140" s="516"/>
      <c r="F140" s="705"/>
    </row>
    <row r="141" spans="1:7">
      <c r="A141" s="522"/>
      <c r="B141" s="516"/>
      <c r="C141" s="516"/>
      <c r="D141" s="516"/>
      <c r="E141" s="516"/>
      <c r="F141" s="705"/>
    </row>
    <row r="142" spans="1:7">
      <c r="A142" s="522"/>
      <c r="B142" s="516"/>
      <c r="C142" s="516"/>
      <c r="D142" s="516"/>
      <c r="E142" s="516"/>
      <c r="F142" s="705"/>
    </row>
    <row r="143" spans="1:7">
      <c r="A143" s="523"/>
      <c r="B143" s="517" t="s">
        <v>464</v>
      </c>
      <c r="C143" s="517"/>
      <c r="D143" s="517"/>
      <c r="E143" s="517"/>
      <c r="F143" s="1036">
        <f>SUM(F135:F142)</f>
        <v>0</v>
      </c>
    </row>
  </sheetData>
  <pageMargins left="0.7" right="0.7" top="0.75" bottom="0.75" header="0.3" footer="0.3"/>
  <pageSetup scale="73" orientation="portrait" r:id="rId1"/>
  <rowBreaks count="4" manualBreakCount="4">
    <brk id="42" max="5" man="1"/>
    <brk id="48" max="5" man="1"/>
    <brk id="75" max="5" man="1"/>
    <brk id="11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188"/>
  <sheetViews>
    <sheetView view="pageBreakPreview" zoomScale="85" zoomScaleNormal="100" zoomScaleSheetLayoutView="85" workbookViewId="0">
      <pane xSplit="2" ySplit="1" topLeftCell="C169" activePane="bottomRight" state="frozen"/>
      <selection pane="topRight" activeCell="C1" sqref="C1"/>
      <selection pane="bottomLeft" activeCell="A2" sqref="A2"/>
      <selection pane="bottomRight" activeCell="E156" sqref="E156"/>
    </sheetView>
  </sheetViews>
  <sheetFormatPr defaultColWidth="8.88671875" defaultRowHeight="14.4"/>
  <cols>
    <col min="1" max="1" width="7.33203125" style="377" bestFit="1" customWidth="1"/>
    <col min="2" max="2" width="51.6640625" style="384" customWidth="1"/>
    <col min="3" max="3" width="8.88671875" style="568"/>
    <col min="4" max="4" width="6.88671875" style="568" bestFit="1" customWidth="1"/>
    <col min="5" max="5" width="8.5546875" style="568" customWidth="1"/>
    <col min="6" max="6" width="16" style="1066" customWidth="1"/>
    <col min="7" max="16384" width="8.88671875" style="29"/>
  </cols>
  <sheetData>
    <row r="1" spans="1:6">
      <c r="A1" s="570" t="s">
        <v>82</v>
      </c>
      <c r="B1" s="571" t="s">
        <v>7</v>
      </c>
      <c r="C1" s="572" t="s">
        <v>141</v>
      </c>
      <c r="D1" s="573" t="s">
        <v>142</v>
      </c>
      <c r="E1" s="574" t="s">
        <v>143</v>
      </c>
      <c r="F1" s="1039" t="s">
        <v>289</v>
      </c>
    </row>
    <row r="2" spans="1:6">
      <c r="A2" s="575"/>
      <c r="B2" s="576">
        <f>'1 Preliminaries '!I5</f>
        <v>0</v>
      </c>
      <c r="C2" s="577"/>
      <c r="D2" s="578"/>
      <c r="E2" s="579"/>
      <c r="F2" s="1040"/>
    </row>
    <row r="3" spans="1:6">
      <c r="A3" s="575"/>
      <c r="B3" s="580" t="s">
        <v>595</v>
      </c>
      <c r="C3" s="577"/>
      <c r="D3" s="578"/>
      <c r="E3" s="579"/>
      <c r="F3" s="1040"/>
    </row>
    <row r="4" spans="1:6">
      <c r="A4" s="575"/>
      <c r="B4" s="580"/>
      <c r="C4" s="577"/>
      <c r="D4" s="578"/>
      <c r="E4" s="579"/>
      <c r="F4" s="1040"/>
    </row>
    <row r="5" spans="1:6">
      <c r="A5" s="581">
        <v>4</v>
      </c>
      <c r="B5" s="576" t="s">
        <v>596</v>
      </c>
      <c r="C5" s="582"/>
      <c r="D5" s="583"/>
      <c r="E5" s="579"/>
      <c r="F5" s="1041"/>
    </row>
    <row r="6" spans="1:6">
      <c r="A6" s="581"/>
      <c r="B6" s="584"/>
      <c r="C6" s="582"/>
      <c r="D6" s="583"/>
      <c r="E6" s="579"/>
      <c r="F6" s="1041"/>
    </row>
    <row r="7" spans="1:6">
      <c r="A7" s="581" t="s">
        <v>597</v>
      </c>
      <c r="B7" s="576" t="s">
        <v>290</v>
      </c>
      <c r="C7" s="582"/>
      <c r="D7" s="583"/>
      <c r="E7" s="579"/>
      <c r="F7" s="1041"/>
    </row>
    <row r="8" spans="1:6" ht="16.2">
      <c r="A8" s="581" t="s">
        <v>598</v>
      </c>
      <c r="B8" s="585" t="s">
        <v>535</v>
      </c>
      <c r="C8" s="583" t="s">
        <v>482</v>
      </c>
      <c r="D8" s="583">
        <v>1</v>
      </c>
      <c r="E8" s="579"/>
      <c r="F8" s="1041">
        <f t="shared" ref="F8" si="0">D8*E8</f>
        <v>0</v>
      </c>
    </row>
    <row r="9" spans="1:6" ht="16.2">
      <c r="A9" s="581" t="s">
        <v>599</v>
      </c>
      <c r="B9" s="585" t="s">
        <v>499</v>
      </c>
      <c r="C9" s="583" t="s">
        <v>278</v>
      </c>
      <c r="D9" s="583">
        <v>58</v>
      </c>
      <c r="E9" s="579"/>
      <c r="F9" s="1041">
        <f>D9*E9</f>
        <v>0</v>
      </c>
    </row>
    <row r="10" spans="1:6" ht="28.8">
      <c r="A10" s="586" t="s">
        <v>600</v>
      </c>
      <c r="B10" s="585" t="s">
        <v>291</v>
      </c>
      <c r="C10" s="583" t="s">
        <v>278</v>
      </c>
      <c r="D10" s="583">
        <v>58</v>
      </c>
      <c r="E10" s="579"/>
      <c r="F10" s="1041">
        <f>D10*E10</f>
        <v>0</v>
      </c>
    </row>
    <row r="11" spans="1:6" ht="28.8">
      <c r="A11" s="581" t="s">
        <v>601</v>
      </c>
      <c r="B11" s="585" t="s">
        <v>497</v>
      </c>
      <c r="C11" s="583" t="s">
        <v>482</v>
      </c>
      <c r="D11" s="583">
        <v>8</v>
      </c>
      <c r="E11" s="579"/>
      <c r="F11" s="1041">
        <f t="shared" ref="F11" si="1">D11*E11</f>
        <v>0</v>
      </c>
    </row>
    <row r="12" spans="1:6" ht="28.8">
      <c r="A12" s="581" t="s">
        <v>602</v>
      </c>
      <c r="B12" s="585" t="s">
        <v>498</v>
      </c>
      <c r="C12" s="583" t="s">
        <v>278</v>
      </c>
      <c r="D12" s="583">
        <v>27</v>
      </c>
      <c r="E12" s="579"/>
      <c r="F12" s="1041">
        <f>D12*E12</f>
        <v>0</v>
      </c>
    </row>
    <row r="13" spans="1:6">
      <c r="A13" s="581"/>
      <c r="B13" s="576" t="s">
        <v>500</v>
      </c>
      <c r="C13" s="583"/>
      <c r="D13" s="583"/>
      <c r="E13" s="579"/>
      <c r="F13" s="1041"/>
    </row>
    <row r="14" spans="1:6" ht="28.8">
      <c r="A14" s="581" t="s">
        <v>603</v>
      </c>
      <c r="B14" s="585" t="s">
        <v>501</v>
      </c>
      <c r="C14" s="583" t="s">
        <v>278</v>
      </c>
      <c r="D14" s="583">
        <v>58</v>
      </c>
      <c r="E14" s="579"/>
      <c r="F14" s="1041">
        <f>D14*E14</f>
        <v>0</v>
      </c>
    </row>
    <row r="15" spans="1:6" ht="28.8">
      <c r="A15" s="581" t="s">
        <v>604</v>
      </c>
      <c r="B15" s="585" t="s">
        <v>502</v>
      </c>
      <c r="C15" s="583" t="s">
        <v>278</v>
      </c>
      <c r="D15" s="583">
        <v>58</v>
      </c>
      <c r="E15" s="579"/>
      <c r="F15" s="1041">
        <f>D15*E15</f>
        <v>0</v>
      </c>
    </row>
    <row r="16" spans="1:6">
      <c r="A16" s="581"/>
      <c r="B16" s="576" t="s">
        <v>120</v>
      </c>
      <c r="C16" s="582"/>
      <c r="D16" s="583"/>
      <c r="E16" s="579"/>
      <c r="F16" s="1041">
        <f t="shared" ref="F16:F19" si="2">D16*E16</f>
        <v>0</v>
      </c>
    </row>
    <row r="17" spans="1:7" ht="43.2">
      <c r="A17" s="581" t="s">
        <v>605</v>
      </c>
      <c r="B17" s="585" t="s">
        <v>483</v>
      </c>
      <c r="C17" s="583" t="s">
        <v>278</v>
      </c>
      <c r="D17" s="583">
        <v>58</v>
      </c>
      <c r="E17" s="579"/>
      <c r="F17" s="1041">
        <f t="shared" si="2"/>
        <v>0</v>
      </c>
    </row>
    <row r="18" spans="1:7">
      <c r="A18" s="581"/>
      <c r="B18" s="576" t="s">
        <v>108</v>
      </c>
      <c r="C18" s="582"/>
      <c r="D18" s="583"/>
      <c r="E18" s="579"/>
      <c r="F18" s="1041">
        <f t="shared" si="2"/>
        <v>0</v>
      </c>
    </row>
    <row r="19" spans="1:7" ht="43.2">
      <c r="A19" s="581" t="s">
        <v>606</v>
      </c>
      <c r="B19" s="585" t="s">
        <v>503</v>
      </c>
      <c r="C19" s="583" t="s">
        <v>278</v>
      </c>
      <c r="D19" s="583">
        <v>58</v>
      </c>
      <c r="E19" s="579"/>
      <c r="F19" s="1041">
        <f t="shared" si="2"/>
        <v>0</v>
      </c>
    </row>
    <row r="20" spans="1:7">
      <c r="A20" s="581"/>
      <c r="B20" s="576" t="s">
        <v>284</v>
      </c>
      <c r="C20" s="582"/>
      <c r="D20" s="583"/>
      <c r="E20" s="579"/>
      <c r="F20" s="1041">
        <f>D20*E20</f>
        <v>0</v>
      </c>
    </row>
    <row r="21" spans="1:7">
      <c r="A21" s="581" t="s">
        <v>607</v>
      </c>
      <c r="B21" s="585" t="s">
        <v>292</v>
      </c>
      <c r="C21" s="583" t="s">
        <v>285</v>
      </c>
      <c r="D21" s="583">
        <v>45</v>
      </c>
      <c r="E21" s="579"/>
      <c r="F21" s="1041">
        <f>D21*E21</f>
        <v>0</v>
      </c>
    </row>
    <row r="22" spans="1:7">
      <c r="A22" s="581"/>
      <c r="B22" s="576" t="s">
        <v>293</v>
      </c>
      <c r="C22" s="583"/>
      <c r="D22" s="583"/>
      <c r="E22" s="579"/>
      <c r="F22" s="1041">
        <f>D22*E22</f>
        <v>0</v>
      </c>
    </row>
    <row r="23" spans="1:7" ht="28.8">
      <c r="A23" s="581" t="s">
        <v>608</v>
      </c>
      <c r="B23" s="585" t="s">
        <v>294</v>
      </c>
      <c r="C23" s="583" t="s">
        <v>278</v>
      </c>
      <c r="D23" s="583">
        <f>D19</f>
        <v>58</v>
      </c>
      <c r="E23" s="579"/>
      <c r="F23" s="1041">
        <f>D23*E23</f>
        <v>0</v>
      </c>
    </row>
    <row r="24" spans="1:7">
      <c r="A24" s="581"/>
      <c r="B24" s="584" t="s">
        <v>295</v>
      </c>
      <c r="C24" s="582"/>
      <c r="D24" s="583"/>
      <c r="E24" s="579"/>
      <c r="F24" s="1041"/>
    </row>
    <row r="25" spans="1:7" ht="28.8">
      <c r="A25" s="581"/>
      <c r="B25" s="587" t="s">
        <v>153</v>
      </c>
      <c r="C25" s="582"/>
      <c r="D25" s="583"/>
      <c r="E25" s="579"/>
      <c r="F25" s="1041">
        <f>D25*E25</f>
        <v>0</v>
      </c>
    </row>
    <row r="26" spans="1:7" ht="16.2">
      <c r="A26" s="581" t="s">
        <v>609</v>
      </c>
      <c r="B26" s="585" t="s">
        <v>296</v>
      </c>
      <c r="C26" s="583" t="s">
        <v>482</v>
      </c>
      <c r="D26" s="583">
        <f>CEILING(D19*0.15,1)</f>
        <v>9</v>
      </c>
      <c r="E26" s="579"/>
      <c r="F26" s="1041">
        <f>D26*E26</f>
        <v>0</v>
      </c>
    </row>
    <row r="27" spans="1:7">
      <c r="A27" s="581"/>
      <c r="B27" s="576" t="s">
        <v>297</v>
      </c>
      <c r="C27" s="572"/>
      <c r="D27" s="573"/>
      <c r="E27" s="574"/>
      <c r="F27" s="1039"/>
    </row>
    <row r="28" spans="1:7">
      <c r="A28" s="581"/>
      <c r="B28" s="587" t="s">
        <v>298</v>
      </c>
      <c r="C28" s="582"/>
      <c r="D28" s="588"/>
      <c r="E28" s="579"/>
      <c r="F28" s="1040">
        <f>D28*E28</f>
        <v>0</v>
      </c>
    </row>
    <row r="29" spans="1:7">
      <c r="A29" s="581" t="s">
        <v>610</v>
      </c>
      <c r="B29" s="585" t="s">
        <v>299</v>
      </c>
      <c r="C29" s="583" t="s">
        <v>2</v>
      </c>
      <c r="D29" s="588">
        <f>D23</f>
        <v>58</v>
      </c>
      <c r="E29" s="579"/>
      <c r="F29" s="1040">
        <f>D29*E29</f>
        <v>0</v>
      </c>
    </row>
    <row r="30" spans="1:7">
      <c r="A30" s="589"/>
      <c r="B30" s="585"/>
      <c r="C30" s="583"/>
      <c r="D30" s="588"/>
      <c r="E30" s="579"/>
      <c r="F30" s="1040"/>
    </row>
    <row r="31" spans="1:7">
      <c r="A31" s="590"/>
      <c r="B31" s="584" t="s">
        <v>460</v>
      </c>
      <c r="C31" s="591"/>
      <c r="D31" s="591"/>
      <c r="E31" s="592"/>
      <c r="F31" s="1042">
        <f>SUM(F4:F30)</f>
        <v>0</v>
      </c>
    </row>
    <row r="32" spans="1:7" s="114" customFormat="1">
      <c r="A32" s="593" t="s">
        <v>82</v>
      </c>
      <c r="B32" s="594" t="s">
        <v>7</v>
      </c>
      <c r="C32" s="595" t="s">
        <v>141</v>
      </c>
      <c r="D32" s="596" t="s">
        <v>142</v>
      </c>
      <c r="E32" s="597" t="s">
        <v>143</v>
      </c>
      <c r="F32" s="1043" t="s">
        <v>289</v>
      </c>
      <c r="G32" s="569"/>
    </row>
    <row r="33" spans="1:198" s="79" customFormat="1">
      <c r="A33" s="598"/>
      <c r="B33" s="599"/>
      <c r="C33" s="600"/>
      <c r="D33" s="601"/>
      <c r="E33" s="602"/>
      <c r="F33" s="1044"/>
      <c r="G33" s="78"/>
    </row>
    <row r="34" spans="1:198" s="52" customFormat="1">
      <c r="A34" s="603"/>
      <c r="B34" s="604" t="s">
        <v>489</v>
      </c>
      <c r="C34" s="605"/>
      <c r="D34" s="606"/>
      <c r="E34" s="607"/>
      <c r="F34" s="1044"/>
      <c r="G34" s="77"/>
    </row>
    <row r="35" spans="1:198" s="52" customFormat="1">
      <c r="A35" s="603"/>
      <c r="B35" s="608"/>
      <c r="C35" s="605"/>
      <c r="D35" s="606"/>
      <c r="E35" s="607"/>
      <c r="F35" s="1044"/>
      <c r="G35" s="77"/>
    </row>
    <row r="36" spans="1:198" s="115" customFormat="1">
      <c r="A36" s="609">
        <v>5.2</v>
      </c>
      <c r="B36" s="610" t="s">
        <v>459</v>
      </c>
      <c r="C36" s="611"/>
      <c r="D36" s="612"/>
      <c r="E36" s="613"/>
      <c r="F36" s="696"/>
      <c r="G36" s="65"/>
    </row>
    <row r="37" spans="1:198" s="119" customFormat="1" ht="15.6">
      <c r="A37" s="614"/>
      <c r="B37" s="615" t="s">
        <v>405</v>
      </c>
      <c r="C37" s="616"/>
      <c r="D37" s="616"/>
      <c r="E37" s="616"/>
      <c r="F37" s="1045"/>
      <c r="G37" s="117"/>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18"/>
      <c r="GE37" s="118"/>
      <c r="GF37" s="118"/>
      <c r="GG37" s="118"/>
      <c r="GH37" s="118"/>
      <c r="GI37" s="118"/>
      <c r="GJ37" s="118"/>
      <c r="GK37" s="118"/>
      <c r="GL37" s="118"/>
      <c r="GM37" s="118"/>
      <c r="GN37" s="118"/>
      <c r="GO37" s="118"/>
      <c r="GP37" s="118"/>
    </row>
    <row r="38" spans="1:198" s="119" customFormat="1" ht="46.8">
      <c r="A38" s="614"/>
      <c r="B38" s="617" t="s">
        <v>504</v>
      </c>
      <c r="C38" s="616"/>
      <c r="D38" s="616"/>
      <c r="E38" s="616"/>
      <c r="F38" s="1045"/>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row>
    <row r="39" spans="1:198" s="119" customFormat="1" ht="15.6">
      <c r="A39" s="614"/>
      <c r="B39" s="617" t="s">
        <v>484</v>
      </c>
      <c r="C39" s="616"/>
      <c r="D39" s="616"/>
      <c r="E39" s="616"/>
      <c r="F39" s="1045"/>
      <c r="G39" s="117"/>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row>
    <row r="40" spans="1:198" s="119" customFormat="1" ht="62.4">
      <c r="A40" s="618" t="s">
        <v>611</v>
      </c>
      <c r="B40" s="619" t="s">
        <v>536</v>
      </c>
      <c r="C40" s="616" t="s">
        <v>136</v>
      </c>
      <c r="D40" s="616">
        <v>105</v>
      </c>
      <c r="E40" s="616"/>
      <c r="F40" s="1045">
        <f>D40*E40</f>
        <v>0</v>
      </c>
      <c r="G40" s="117"/>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row>
    <row r="41" spans="1:198" s="119" customFormat="1" ht="15.6">
      <c r="A41" s="618"/>
      <c r="B41" s="617" t="s">
        <v>406</v>
      </c>
      <c r="C41" s="619"/>
      <c r="D41" s="619"/>
      <c r="E41" s="616"/>
      <c r="F41" s="1045"/>
      <c r="G41" s="117"/>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row>
    <row r="42" spans="1:198" s="119" customFormat="1" ht="31.2">
      <c r="A42" s="618">
        <v>5.22</v>
      </c>
      <c r="B42" s="619" t="s">
        <v>485</v>
      </c>
      <c r="C42" s="619" t="s">
        <v>136</v>
      </c>
      <c r="D42" s="616">
        <v>43</v>
      </c>
      <c r="E42" s="619"/>
      <c r="F42" s="1045">
        <f>D42*E42</f>
        <v>0</v>
      </c>
      <c r="G42" s="117"/>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row>
    <row r="43" spans="1:198" s="119" customFormat="1" ht="31.2">
      <c r="A43" s="618" t="s">
        <v>612</v>
      </c>
      <c r="B43" s="619" t="s">
        <v>407</v>
      </c>
      <c r="C43" s="619" t="s">
        <v>136</v>
      </c>
      <c r="D43" s="616">
        <v>86</v>
      </c>
      <c r="E43" s="619"/>
      <c r="F43" s="1045">
        <f t="shared" ref="F43:F52" si="3">D43*E43</f>
        <v>0</v>
      </c>
      <c r="G43" s="117"/>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row>
    <row r="44" spans="1:198" s="119" customFormat="1" ht="15.6">
      <c r="A44" s="618"/>
      <c r="B44" s="620" t="s">
        <v>408</v>
      </c>
      <c r="C44" s="619"/>
      <c r="D44" s="616"/>
      <c r="E44" s="619"/>
      <c r="F44" s="1045">
        <f t="shared" si="3"/>
        <v>0</v>
      </c>
      <c r="G44" s="117"/>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row>
    <row r="45" spans="1:198" s="119" customFormat="1" ht="46.8">
      <c r="A45" s="618" t="s">
        <v>613</v>
      </c>
      <c r="B45" s="619" t="s">
        <v>486</v>
      </c>
      <c r="C45" s="619" t="s">
        <v>2</v>
      </c>
      <c r="D45" s="616">
        <v>156</v>
      </c>
      <c r="E45" s="619"/>
      <c r="F45" s="1045">
        <f t="shared" si="3"/>
        <v>0</v>
      </c>
      <c r="G45" s="117"/>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row>
    <row r="46" spans="1:198" s="119" customFormat="1" ht="31.2">
      <c r="A46" s="618" t="s">
        <v>614</v>
      </c>
      <c r="B46" s="619" t="s">
        <v>409</v>
      </c>
      <c r="C46" s="619" t="s">
        <v>2</v>
      </c>
      <c r="D46" s="616">
        <v>156</v>
      </c>
      <c r="E46" s="619"/>
      <c r="F46" s="1045">
        <f t="shared" si="3"/>
        <v>0</v>
      </c>
      <c r="G46" s="117"/>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18"/>
      <c r="FG46" s="118"/>
      <c r="FH46" s="118"/>
      <c r="FI46" s="118"/>
      <c r="FJ46" s="118"/>
      <c r="FK46" s="118"/>
      <c r="FL46" s="118"/>
      <c r="FM46" s="118"/>
      <c r="FN46" s="118"/>
      <c r="FO46" s="118"/>
      <c r="FP46" s="118"/>
      <c r="FQ46" s="118"/>
      <c r="FR46" s="118"/>
      <c r="FS46" s="118"/>
      <c r="FT46" s="118"/>
      <c r="FU46" s="118"/>
      <c r="FV46" s="118"/>
      <c r="FW46" s="118"/>
      <c r="FX46" s="118"/>
      <c r="FY46" s="118"/>
      <c r="FZ46" s="118"/>
      <c r="GA46" s="118"/>
      <c r="GB46" s="118"/>
      <c r="GC46" s="118"/>
      <c r="GD46" s="118"/>
      <c r="GE46" s="118"/>
      <c r="GF46" s="118"/>
      <c r="GG46" s="118"/>
      <c r="GH46" s="118"/>
      <c r="GI46" s="118"/>
      <c r="GJ46" s="118"/>
      <c r="GK46" s="118"/>
      <c r="GL46" s="118"/>
      <c r="GM46" s="118"/>
      <c r="GN46" s="118"/>
      <c r="GO46" s="118"/>
      <c r="GP46" s="118"/>
    </row>
    <row r="47" spans="1:198" s="129" customFormat="1" ht="15.6">
      <c r="A47" s="614"/>
      <c r="B47" s="620" t="s">
        <v>410</v>
      </c>
      <c r="C47" s="620"/>
      <c r="D47" s="621"/>
      <c r="E47" s="620"/>
      <c r="F47" s="1045">
        <f t="shared" si="3"/>
        <v>0</v>
      </c>
      <c r="G47" s="127"/>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row>
    <row r="48" spans="1:198" s="119" customFormat="1" ht="31.2">
      <c r="A48" s="618" t="s">
        <v>615</v>
      </c>
      <c r="B48" s="619" t="s">
        <v>448</v>
      </c>
      <c r="C48" s="619" t="s">
        <v>2</v>
      </c>
      <c r="D48" s="619">
        <v>228</v>
      </c>
      <c r="E48" s="619"/>
      <c r="F48" s="1045">
        <f t="shared" si="3"/>
        <v>0</v>
      </c>
      <c r="G48" s="117"/>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118"/>
      <c r="FC48" s="118"/>
      <c r="FD48" s="118"/>
      <c r="FE48" s="118"/>
      <c r="FF48" s="118"/>
      <c r="FG48" s="118"/>
      <c r="FH48" s="118"/>
      <c r="FI48" s="118"/>
      <c r="FJ48" s="118"/>
      <c r="FK48" s="118"/>
      <c r="FL48" s="118"/>
      <c r="FM48" s="118"/>
      <c r="FN48" s="118"/>
      <c r="FO48" s="118"/>
      <c r="FP48" s="118"/>
      <c r="FQ48" s="118"/>
      <c r="FR48" s="118"/>
      <c r="FS48" s="118"/>
      <c r="FT48" s="118"/>
      <c r="FU48" s="118"/>
      <c r="FV48" s="118"/>
      <c r="FW48" s="118"/>
      <c r="FX48" s="118"/>
      <c r="FY48" s="118"/>
      <c r="FZ48" s="118"/>
      <c r="GA48" s="118"/>
      <c r="GB48" s="118"/>
      <c r="GC48" s="118"/>
      <c r="GD48" s="118"/>
      <c r="GE48" s="118"/>
      <c r="GF48" s="118"/>
      <c r="GG48" s="118"/>
      <c r="GH48" s="118"/>
      <c r="GI48" s="118"/>
      <c r="GJ48" s="118"/>
      <c r="GK48" s="118"/>
      <c r="GL48" s="118"/>
      <c r="GM48" s="118"/>
      <c r="GN48" s="118"/>
      <c r="GO48" s="118"/>
      <c r="GP48" s="118"/>
    </row>
    <row r="49" spans="1:198" s="119" customFormat="1" ht="31.2">
      <c r="A49" s="618" t="s">
        <v>616</v>
      </c>
      <c r="B49" s="619" t="s">
        <v>505</v>
      </c>
      <c r="C49" s="619" t="s">
        <v>2</v>
      </c>
      <c r="D49" s="619">
        <v>228</v>
      </c>
      <c r="E49" s="616"/>
      <c r="F49" s="1045">
        <f t="shared" si="3"/>
        <v>0</v>
      </c>
      <c r="G49" s="117"/>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c r="FR49" s="118"/>
      <c r="FS49" s="118"/>
      <c r="FT49" s="118"/>
      <c r="FU49" s="118"/>
      <c r="FV49" s="118"/>
      <c r="FW49" s="118"/>
      <c r="FX49" s="118"/>
      <c r="FY49" s="118"/>
      <c r="FZ49" s="118"/>
      <c r="GA49" s="118"/>
      <c r="GB49" s="118"/>
      <c r="GC49" s="118"/>
      <c r="GD49" s="118"/>
      <c r="GE49" s="118"/>
      <c r="GF49" s="118"/>
      <c r="GG49" s="118"/>
      <c r="GH49" s="118"/>
      <c r="GI49" s="118"/>
      <c r="GJ49" s="118"/>
      <c r="GK49" s="118"/>
      <c r="GL49" s="118"/>
      <c r="GM49" s="118"/>
      <c r="GN49" s="118"/>
      <c r="GO49" s="118"/>
      <c r="GP49" s="118"/>
    </row>
    <row r="50" spans="1:198" s="119" customFormat="1" ht="15.6">
      <c r="A50" s="618"/>
      <c r="B50" s="620" t="s">
        <v>411</v>
      </c>
      <c r="C50" s="619"/>
      <c r="D50" s="619"/>
      <c r="E50" s="616"/>
      <c r="F50" s="1045">
        <f t="shared" si="3"/>
        <v>0</v>
      </c>
      <c r="G50" s="117"/>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c r="FR50" s="118"/>
      <c r="FS50" s="118"/>
      <c r="FT50" s="118"/>
      <c r="FU50" s="118"/>
      <c r="FV50" s="118"/>
      <c r="FW50" s="118"/>
      <c r="FX50" s="118"/>
      <c r="FY50" s="118"/>
      <c r="FZ50" s="118"/>
      <c r="GA50" s="118"/>
      <c r="GB50" s="118"/>
      <c r="GC50" s="118"/>
      <c r="GD50" s="118"/>
      <c r="GE50" s="118"/>
      <c r="GF50" s="118"/>
      <c r="GG50" s="118"/>
      <c r="GH50" s="118"/>
      <c r="GI50" s="118"/>
      <c r="GJ50" s="118"/>
      <c r="GK50" s="118"/>
      <c r="GL50" s="118"/>
      <c r="GM50" s="118"/>
      <c r="GN50" s="118"/>
      <c r="GO50" s="118"/>
      <c r="GP50" s="118"/>
    </row>
    <row r="51" spans="1:198" s="119" customFormat="1" ht="46.8">
      <c r="A51" s="618" t="s">
        <v>617</v>
      </c>
      <c r="B51" s="619" t="s">
        <v>506</v>
      </c>
      <c r="C51" s="619" t="s">
        <v>2</v>
      </c>
      <c r="D51" s="616">
        <v>58</v>
      </c>
      <c r="E51" s="616"/>
      <c r="F51" s="1045">
        <f t="shared" si="3"/>
        <v>0</v>
      </c>
      <c r="G51" s="117"/>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118"/>
      <c r="FI51" s="118"/>
      <c r="FJ51" s="118"/>
      <c r="FK51" s="118"/>
      <c r="FL51" s="118"/>
      <c r="FM51" s="118"/>
      <c r="FN51" s="118"/>
      <c r="FO51" s="118"/>
      <c r="FP51" s="118"/>
      <c r="FQ51" s="118"/>
      <c r="FR51" s="118"/>
      <c r="FS51" s="118"/>
      <c r="FT51" s="118"/>
      <c r="FU51" s="118"/>
      <c r="FV51" s="118"/>
      <c r="FW51" s="118"/>
      <c r="FX51" s="118"/>
      <c r="FY51" s="118"/>
      <c r="FZ51" s="118"/>
      <c r="GA51" s="118"/>
      <c r="GB51" s="118"/>
      <c r="GC51" s="118"/>
      <c r="GD51" s="118"/>
      <c r="GE51" s="118"/>
      <c r="GF51" s="118"/>
      <c r="GG51" s="118"/>
      <c r="GH51" s="118"/>
      <c r="GI51" s="118"/>
      <c r="GJ51" s="118"/>
      <c r="GK51" s="118"/>
      <c r="GL51" s="118"/>
      <c r="GM51" s="118"/>
      <c r="GN51" s="118"/>
      <c r="GO51" s="118"/>
      <c r="GP51" s="118"/>
    </row>
    <row r="52" spans="1:198" s="119" customFormat="1" ht="31.2">
      <c r="A52" s="618" t="s">
        <v>618</v>
      </c>
      <c r="B52" s="619" t="s">
        <v>412</v>
      </c>
      <c r="C52" s="619" t="s">
        <v>2</v>
      </c>
      <c r="D52" s="616">
        <v>58</v>
      </c>
      <c r="E52" s="616"/>
      <c r="F52" s="1045">
        <f t="shared" si="3"/>
        <v>0</v>
      </c>
      <c r="G52" s="117"/>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c r="FR52" s="118"/>
      <c r="FS52" s="118"/>
      <c r="FT52" s="118"/>
      <c r="FU52" s="118"/>
      <c r="FV52" s="118"/>
      <c r="FW52" s="118"/>
      <c r="FX52" s="118"/>
      <c r="FY52" s="118"/>
      <c r="FZ52" s="118"/>
      <c r="GA52" s="118"/>
      <c r="GB52" s="118"/>
      <c r="GC52" s="118"/>
      <c r="GD52" s="118"/>
      <c r="GE52" s="118"/>
      <c r="GF52" s="118"/>
      <c r="GG52" s="118"/>
      <c r="GH52" s="118"/>
      <c r="GI52" s="118"/>
      <c r="GJ52" s="118"/>
      <c r="GK52" s="118"/>
      <c r="GL52" s="118"/>
      <c r="GM52" s="118"/>
      <c r="GN52" s="118"/>
      <c r="GO52" s="118"/>
      <c r="GP52" s="118"/>
    </row>
    <row r="53" spans="1:198" s="129" customFormat="1" ht="15.6">
      <c r="A53" s="618"/>
      <c r="B53" s="620"/>
      <c r="C53" s="620"/>
      <c r="D53" s="620"/>
      <c r="E53" s="621"/>
      <c r="F53" s="1046"/>
      <c r="G53" s="127"/>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row>
    <row r="54" spans="1:198" s="119" customFormat="1" ht="15.6">
      <c r="A54" s="618"/>
      <c r="B54" s="620" t="s">
        <v>619</v>
      </c>
      <c r="C54" s="619"/>
      <c r="D54" s="619"/>
      <c r="E54" s="616"/>
      <c r="F54" s="1045"/>
      <c r="G54" s="117"/>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J54" s="118"/>
      <c r="FK54" s="118"/>
      <c r="FL54" s="118"/>
      <c r="FM54" s="118"/>
      <c r="FN54" s="118"/>
      <c r="FO54" s="118"/>
      <c r="FP54" s="118"/>
      <c r="FQ54" s="118"/>
      <c r="FR54" s="118"/>
      <c r="FS54" s="118"/>
      <c r="FT54" s="118"/>
      <c r="FU54" s="118"/>
      <c r="FV54" s="118"/>
      <c r="FW54" s="118"/>
      <c r="FX54" s="118"/>
      <c r="FY54" s="118"/>
      <c r="FZ54" s="118"/>
      <c r="GA54" s="118"/>
      <c r="GB54" s="118"/>
      <c r="GC54" s="118"/>
      <c r="GD54" s="118"/>
      <c r="GE54" s="118"/>
      <c r="GF54" s="118"/>
      <c r="GG54" s="118"/>
      <c r="GH54" s="118"/>
      <c r="GI54" s="118"/>
      <c r="GJ54" s="118"/>
      <c r="GK54" s="118"/>
      <c r="GL54" s="118"/>
      <c r="GM54" s="118"/>
      <c r="GN54" s="118"/>
      <c r="GO54" s="118"/>
      <c r="GP54" s="118"/>
    </row>
    <row r="55" spans="1:198" s="133" customFormat="1" ht="31.2">
      <c r="A55" s="618"/>
      <c r="B55" s="617" t="s">
        <v>413</v>
      </c>
      <c r="C55" s="622" t="s">
        <v>5</v>
      </c>
      <c r="D55" s="622"/>
      <c r="E55" s="622"/>
      <c r="F55" s="1047"/>
      <c r="G55" s="132"/>
    </row>
    <row r="56" spans="1:198" s="119" customFormat="1" ht="31.2">
      <c r="A56" s="618" t="s">
        <v>620</v>
      </c>
      <c r="B56" s="619" t="s">
        <v>414</v>
      </c>
      <c r="C56" s="619" t="s">
        <v>2</v>
      </c>
      <c r="D56" s="616">
        <v>89</v>
      </c>
      <c r="E56" s="616"/>
      <c r="F56" s="1045">
        <f>D56*E56</f>
        <v>0</v>
      </c>
      <c r="G56" s="117"/>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row>
    <row r="57" spans="1:198" s="133" customFormat="1" ht="15.6">
      <c r="A57" s="618" t="s">
        <v>621</v>
      </c>
      <c r="B57" s="622" t="s">
        <v>537</v>
      </c>
      <c r="C57" s="622" t="s">
        <v>3</v>
      </c>
      <c r="D57" s="622">
        <v>83</v>
      </c>
      <c r="E57" s="622"/>
      <c r="F57" s="1045">
        <f t="shared" ref="F57:F63" si="4">D57*E57</f>
        <v>0</v>
      </c>
      <c r="G57" s="132"/>
    </row>
    <row r="58" spans="1:198" s="133" customFormat="1" ht="15.6">
      <c r="A58" s="618" t="s">
        <v>622</v>
      </c>
      <c r="B58" s="622" t="s">
        <v>538</v>
      </c>
      <c r="C58" s="622" t="s">
        <v>3</v>
      </c>
      <c r="D58" s="622">
        <v>45</v>
      </c>
      <c r="E58" s="622"/>
      <c r="F58" s="1045">
        <f t="shared" si="4"/>
        <v>0</v>
      </c>
      <c r="G58" s="132"/>
    </row>
    <row r="59" spans="1:198" s="133" customFormat="1" ht="15.6">
      <c r="A59" s="618" t="s">
        <v>623</v>
      </c>
      <c r="B59" s="622" t="s">
        <v>539</v>
      </c>
      <c r="C59" s="622" t="s">
        <v>3</v>
      </c>
      <c r="D59" s="622">
        <v>68</v>
      </c>
      <c r="E59" s="622"/>
      <c r="F59" s="1045">
        <f t="shared" si="4"/>
        <v>0</v>
      </c>
      <c r="G59" s="132"/>
    </row>
    <row r="60" spans="1:198" s="133" customFormat="1" ht="15.6">
      <c r="A60" s="618" t="s">
        <v>624</v>
      </c>
      <c r="B60" s="622" t="s">
        <v>159</v>
      </c>
      <c r="C60" s="622" t="s">
        <v>3</v>
      </c>
      <c r="D60" s="622">
        <v>34</v>
      </c>
      <c r="E60" s="622"/>
      <c r="F60" s="1045">
        <f t="shared" si="4"/>
        <v>0</v>
      </c>
      <c r="G60" s="132"/>
    </row>
    <row r="61" spans="1:198" s="133" customFormat="1" ht="15.6">
      <c r="A61" s="618" t="s">
        <v>625</v>
      </c>
      <c r="B61" s="622" t="s">
        <v>415</v>
      </c>
      <c r="C61" s="622" t="s">
        <v>3</v>
      </c>
      <c r="D61" s="622">
        <v>14</v>
      </c>
      <c r="E61" s="622"/>
      <c r="F61" s="1045">
        <f t="shared" si="4"/>
        <v>0</v>
      </c>
      <c r="G61" s="132"/>
    </row>
    <row r="62" spans="1:198" s="133" customFormat="1" ht="15.6">
      <c r="A62" s="618" t="s">
        <v>626</v>
      </c>
      <c r="B62" s="622" t="s">
        <v>333</v>
      </c>
      <c r="C62" s="622" t="s">
        <v>3</v>
      </c>
      <c r="D62" s="622">
        <v>17</v>
      </c>
      <c r="E62" s="622"/>
      <c r="F62" s="1045">
        <f t="shared" si="4"/>
        <v>0</v>
      </c>
      <c r="G62" s="132"/>
    </row>
    <row r="63" spans="1:198" s="133" customFormat="1" ht="15.6">
      <c r="A63" s="618"/>
      <c r="B63" s="623"/>
      <c r="C63" s="622"/>
      <c r="D63" s="622"/>
      <c r="E63" s="622"/>
      <c r="F63" s="1045">
        <f t="shared" si="4"/>
        <v>0</v>
      </c>
      <c r="G63" s="132"/>
    </row>
    <row r="64" spans="1:198" s="133" customFormat="1" ht="15.6">
      <c r="A64" s="624"/>
      <c r="B64" s="623" t="s">
        <v>227</v>
      </c>
      <c r="C64" s="622"/>
      <c r="D64" s="622"/>
      <c r="E64" s="622"/>
      <c r="F64" s="1048">
        <f>SUM(F34:F63)</f>
        <v>0</v>
      </c>
      <c r="G64" s="132"/>
    </row>
    <row r="65" spans="1:7" s="115" customFormat="1">
      <c r="A65" s="625" t="s">
        <v>82</v>
      </c>
      <c r="B65" s="626" t="s">
        <v>7</v>
      </c>
      <c r="C65" s="627" t="s">
        <v>141</v>
      </c>
      <c r="D65" s="628" t="s">
        <v>142</v>
      </c>
      <c r="E65" s="629" t="s">
        <v>143</v>
      </c>
      <c r="F65" s="1049" t="s">
        <v>289</v>
      </c>
      <c r="G65" s="65"/>
    </row>
    <row r="66" spans="1:7" s="115" customFormat="1" ht="15.6">
      <c r="A66" s="625"/>
      <c r="B66" s="626" t="s">
        <v>224</v>
      </c>
      <c r="C66" s="627"/>
      <c r="D66" s="628"/>
      <c r="E66" s="629"/>
      <c r="F66" s="1050">
        <f>F64</f>
        <v>0</v>
      </c>
      <c r="G66" s="65"/>
    </row>
    <row r="67" spans="1:7" s="133" customFormat="1" ht="15.6">
      <c r="A67" s="618"/>
      <c r="B67" s="623" t="s">
        <v>368</v>
      </c>
      <c r="C67" s="622" t="s">
        <v>5</v>
      </c>
      <c r="D67" s="622" t="s">
        <v>5</v>
      </c>
      <c r="E67" s="622"/>
      <c r="F67" s="1051"/>
      <c r="G67" s="132"/>
    </row>
    <row r="68" spans="1:7" s="133" customFormat="1" ht="15.6">
      <c r="A68" s="618" t="s">
        <v>627</v>
      </c>
      <c r="B68" s="622" t="s">
        <v>369</v>
      </c>
      <c r="C68" s="622" t="s">
        <v>5</v>
      </c>
      <c r="D68" s="622" t="s">
        <v>5</v>
      </c>
      <c r="E68" s="622"/>
      <c r="F68" s="1051"/>
      <c r="G68" s="132"/>
    </row>
    <row r="69" spans="1:7" s="133" customFormat="1" ht="15.6">
      <c r="A69" s="618" t="s">
        <v>628</v>
      </c>
      <c r="B69" s="622" t="s">
        <v>416</v>
      </c>
      <c r="C69" s="622" t="s">
        <v>2</v>
      </c>
      <c r="D69" s="622">
        <f>CEILING(77.3-58,1)</f>
        <v>20</v>
      </c>
      <c r="E69" s="622"/>
      <c r="F69" s="1051">
        <f t="shared" ref="F69:F100" si="5">E69*D69</f>
        <v>0</v>
      </c>
      <c r="G69" s="132"/>
    </row>
    <row r="70" spans="1:7" s="133" customFormat="1" ht="15.6">
      <c r="A70" s="618" t="s">
        <v>629</v>
      </c>
      <c r="B70" s="622" t="s">
        <v>370</v>
      </c>
      <c r="C70" s="622" t="s">
        <v>3</v>
      </c>
      <c r="D70" s="622">
        <v>42</v>
      </c>
      <c r="E70" s="622"/>
      <c r="F70" s="1051">
        <f t="shared" si="5"/>
        <v>0</v>
      </c>
      <c r="G70" s="132"/>
    </row>
    <row r="71" spans="1:7" s="133" customFormat="1" ht="15.6">
      <c r="A71" s="618" t="s">
        <v>629</v>
      </c>
      <c r="B71" s="617" t="s">
        <v>116</v>
      </c>
      <c r="C71" s="622" t="s">
        <v>5</v>
      </c>
      <c r="D71" s="622" t="s">
        <v>5</v>
      </c>
      <c r="E71" s="622"/>
      <c r="F71" s="1051"/>
      <c r="G71" s="132"/>
    </row>
    <row r="72" spans="1:7" s="133" customFormat="1" ht="31.2">
      <c r="A72" s="618" t="s">
        <v>630</v>
      </c>
      <c r="B72" s="622" t="s">
        <v>417</v>
      </c>
      <c r="C72" s="622" t="s">
        <v>2</v>
      </c>
      <c r="D72" s="622">
        <f>D69</f>
        <v>20</v>
      </c>
      <c r="E72" s="622"/>
      <c r="F72" s="1051">
        <f t="shared" si="5"/>
        <v>0</v>
      </c>
      <c r="G72" s="132"/>
    </row>
    <row r="73" spans="1:7" s="133" customFormat="1" ht="31.2">
      <c r="A73" s="618" t="s">
        <v>631</v>
      </c>
      <c r="B73" s="622" t="s">
        <v>371</v>
      </c>
      <c r="C73" s="622" t="s">
        <v>3</v>
      </c>
      <c r="D73" s="622">
        <f>D70</f>
        <v>42</v>
      </c>
      <c r="E73" s="622"/>
      <c r="F73" s="1051">
        <f t="shared" si="5"/>
        <v>0</v>
      </c>
      <c r="G73" s="132"/>
    </row>
    <row r="74" spans="1:7" s="133" customFormat="1" ht="15.6">
      <c r="A74" s="618"/>
      <c r="B74" s="623" t="s">
        <v>334</v>
      </c>
      <c r="C74" s="622" t="s">
        <v>5</v>
      </c>
      <c r="D74" s="622" t="s">
        <v>5</v>
      </c>
      <c r="E74" s="622"/>
      <c r="F74" s="1051"/>
      <c r="G74" s="132"/>
    </row>
    <row r="75" spans="1:7" s="133" customFormat="1" ht="46.8">
      <c r="A75" s="618" t="s">
        <v>632</v>
      </c>
      <c r="B75" s="622" t="s">
        <v>418</v>
      </c>
      <c r="C75" s="622" t="s">
        <v>3</v>
      </c>
      <c r="D75" s="622">
        <f>D73</f>
        <v>42</v>
      </c>
      <c r="E75" s="622"/>
      <c r="F75" s="1051">
        <f t="shared" si="5"/>
        <v>0</v>
      </c>
      <c r="G75" s="132"/>
    </row>
    <row r="76" spans="1:7" s="133" customFormat="1" ht="15.6">
      <c r="A76" s="618"/>
      <c r="B76" s="623" t="s">
        <v>304</v>
      </c>
      <c r="C76" s="622" t="s">
        <v>5</v>
      </c>
      <c r="D76" s="622" t="s">
        <v>5</v>
      </c>
      <c r="E76" s="622"/>
      <c r="F76" s="1051"/>
      <c r="G76" s="132"/>
    </row>
    <row r="77" spans="1:7" s="133" customFormat="1" ht="31.2">
      <c r="A77" s="618" t="s">
        <v>633</v>
      </c>
      <c r="B77" s="622" t="s">
        <v>160</v>
      </c>
      <c r="C77" s="622" t="s">
        <v>3</v>
      </c>
      <c r="D77" s="622">
        <f>2*3</f>
        <v>6</v>
      </c>
      <c r="E77" s="622"/>
      <c r="F77" s="1051">
        <f t="shared" si="5"/>
        <v>0</v>
      </c>
      <c r="G77" s="132"/>
    </row>
    <row r="78" spans="1:7" s="133" customFormat="1" ht="15.6">
      <c r="A78" s="618" t="s">
        <v>634</v>
      </c>
      <c r="B78" s="622" t="s">
        <v>335</v>
      </c>
      <c r="C78" s="622" t="s">
        <v>118</v>
      </c>
      <c r="D78" s="622">
        <v>2</v>
      </c>
      <c r="E78" s="622"/>
      <c r="F78" s="1051">
        <f t="shared" si="5"/>
        <v>0</v>
      </c>
      <c r="G78" s="132"/>
    </row>
    <row r="79" spans="1:7" s="133" customFormat="1" ht="15.6">
      <c r="A79" s="618" t="s">
        <v>635</v>
      </c>
      <c r="B79" s="622" t="s">
        <v>336</v>
      </c>
      <c r="C79" s="622" t="s">
        <v>118</v>
      </c>
      <c r="D79" s="622">
        <f>D78</f>
        <v>2</v>
      </c>
      <c r="E79" s="622"/>
      <c r="F79" s="1051">
        <f t="shared" si="5"/>
        <v>0</v>
      </c>
      <c r="G79" s="132"/>
    </row>
    <row r="80" spans="1:7" s="133" customFormat="1" ht="31.2">
      <c r="A80" s="618" t="s">
        <v>636</v>
      </c>
      <c r="B80" s="622" t="s">
        <v>337</v>
      </c>
      <c r="C80" s="622" t="s">
        <v>5</v>
      </c>
      <c r="D80" s="622" t="s">
        <v>5</v>
      </c>
      <c r="E80" s="622"/>
      <c r="F80" s="1051"/>
      <c r="G80" s="132"/>
    </row>
    <row r="81" spans="1:198" s="133" customFormat="1" ht="31.2">
      <c r="A81" s="618" t="s">
        <v>637</v>
      </c>
      <c r="B81" s="622" t="s">
        <v>419</v>
      </c>
      <c r="C81" s="622" t="s">
        <v>3</v>
      </c>
      <c r="D81" s="622">
        <f>D75</f>
        <v>42</v>
      </c>
      <c r="E81" s="622"/>
      <c r="F81" s="1051">
        <f t="shared" si="5"/>
        <v>0</v>
      </c>
      <c r="G81" s="132"/>
    </row>
    <row r="82" spans="1:198" s="133" customFormat="1" ht="15.6">
      <c r="A82" s="618"/>
      <c r="B82" s="623"/>
      <c r="C82" s="623"/>
      <c r="D82" s="623"/>
      <c r="E82" s="623"/>
      <c r="F82" s="1051">
        <f t="shared" si="5"/>
        <v>0</v>
      </c>
      <c r="G82" s="132"/>
    </row>
    <row r="83" spans="1:198" s="119" customFormat="1" ht="15.6">
      <c r="A83" s="630"/>
      <c r="B83" s="620" t="s">
        <v>463</v>
      </c>
      <c r="C83" s="621"/>
      <c r="D83" s="621"/>
      <c r="E83" s="621"/>
      <c r="F83" s="1051">
        <f t="shared" si="5"/>
        <v>0</v>
      </c>
      <c r="G83" s="117"/>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18"/>
      <c r="DQ83" s="118"/>
      <c r="DR83" s="118"/>
      <c r="DS83" s="118"/>
      <c r="DT83" s="118"/>
      <c r="DU83" s="118"/>
      <c r="DV83" s="118"/>
      <c r="DW83" s="118"/>
      <c r="DX83" s="118"/>
      <c r="DY83" s="118"/>
      <c r="DZ83" s="118"/>
      <c r="EA83" s="118"/>
      <c r="EB83" s="118"/>
      <c r="EC83" s="118"/>
      <c r="ED83" s="118"/>
      <c r="EE83" s="118"/>
      <c r="EF83" s="118"/>
      <c r="EG83" s="118"/>
      <c r="EH83" s="118"/>
      <c r="EI83" s="118"/>
      <c r="EJ83" s="118"/>
      <c r="EK83" s="118"/>
      <c r="EL83" s="118"/>
      <c r="EM83" s="118"/>
      <c r="EN83" s="118"/>
      <c r="EO83" s="118"/>
      <c r="EP83" s="118"/>
      <c r="EQ83" s="118"/>
      <c r="ER83" s="118"/>
      <c r="ES83" s="118"/>
      <c r="ET83" s="118"/>
      <c r="EU83" s="118"/>
      <c r="EV83" s="118"/>
      <c r="EW83" s="118"/>
      <c r="EX83" s="118"/>
      <c r="EY83" s="118"/>
      <c r="EZ83" s="118"/>
      <c r="FA83" s="118"/>
      <c r="FB83" s="118"/>
      <c r="FC83" s="118"/>
      <c r="FD83" s="118"/>
      <c r="FE83" s="118"/>
      <c r="FF83" s="118"/>
      <c r="FG83" s="118"/>
      <c r="FH83" s="118"/>
      <c r="FI83" s="118"/>
      <c r="FJ83" s="118"/>
      <c r="FK83" s="118"/>
      <c r="FL83" s="118"/>
      <c r="FM83" s="118"/>
      <c r="FN83" s="118"/>
      <c r="FO83" s="118"/>
      <c r="FP83" s="118"/>
      <c r="FQ83" s="118"/>
      <c r="FR83" s="118"/>
      <c r="FS83" s="118"/>
      <c r="FT83" s="118"/>
      <c r="FU83" s="118"/>
      <c r="FV83" s="118"/>
      <c r="FW83" s="118"/>
      <c r="FX83" s="118"/>
      <c r="FY83" s="118"/>
      <c r="FZ83" s="118"/>
      <c r="GA83" s="118"/>
      <c r="GB83" s="118"/>
      <c r="GC83" s="118"/>
      <c r="GD83" s="118"/>
      <c r="GE83" s="118"/>
      <c r="GF83" s="118"/>
      <c r="GG83" s="118"/>
      <c r="GH83" s="118"/>
      <c r="GI83" s="118"/>
      <c r="GJ83" s="118"/>
      <c r="GK83" s="118"/>
      <c r="GL83" s="118"/>
      <c r="GM83" s="118"/>
      <c r="GN83" s="118"/>
      <c r="GO83" s="118"/>
      <c r="GP83" s="118"/>
    </row>
    <row r="84" spans="1:198" s="119" customFormat="1" ht="31.2">
      <c r="A84" s="618" t="s">
        <v>638</v>
      </c>
      <c r="B84" s="622" t="s">
        <v>540</v>
      </c>
      <c r="C84" s="631" t="s">
        <v>118</v>
      </c>
      <c r="D84" s="631">
        <v>8</v>
      </c>
      <c r="E84" s="631"/>
      <c r="F84" s="1051">
        <f t="shared" si="5"/>
        <v>0</v>
      </c>
      <c r="G84" s="117"/>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CY84" s="118"/>
      <c r="CZ84" s="118"/>
      <c r="DA84" s="118"/>
      <c r="DB84" s="118"/>
      <c r="DC84" s="118"/>
      <c r="DD84" s="118"/>
      <c r="DE84" s="118"/>
      <c r="DF84" s="118"/>
      <c r="DG84" s="118"/>
      <c r="DH84" s="118"/>
      <c r="DI84" s="118"/>
      <c r="DJ84" s="118"/>
      <c r="DK84" s="118"/>
      <c r="DL84" s="118"/>
      <c r="DM84" s="118"/>
      <c r="DN84" s="118"/>
      <c r="DO84" s="118"/>
      <c r="DP84" s="118"/>
      <c r="DQ84" s="118"/>
      <c r="DR84" s="118"/>
      <c r="DS84" s="118"/>
      <c r="DT84" s="118"/>
      <c r="DU84" s="118"/>
      <c r="DV84" s="118"/>
      <c r="DW84" s="118"/>
      <c r="DX84" s="118"/>
      <c r="DY84" s="118"/>
      <c r="DZ84" s="118"/>
      <c r="EA84" s="118"/>
      <c r="EB84" s="118"/>
      <c r="EC84" s="118"/>
      <c r="ED84" s="118"/>
      <c r="EE84" s="118"/>
      <c r="EF84" s="118"/>
      <c r="EG84" s="118"/>
      <c r="EH84" s="118"/>
      <c r="EI84" s="118"/>
      <c r="EJ84" s="118"/>
      <c r="EK84" s="118"/>
      <c r="EL84" s="118"/>
      <c r="EM84" s="118"/>
      <c r="EN84" s="118"/>
      <c r="EO84" s="118"/>
      <c r="EP84" s="118"/>
      <c r="EQ84" s="118"/>
      <c r="ER84" s="118"/>
      <c r="ES84" s="118"/>
      <c r="ET84" s="118"/>
      <c r="EU84" s="118"/>
      <c r="EV84" s="118"/>
      <c r="EW84" s="118"/>
      <c r="EX84" s="118"/>
      <c r="EY84" s="118"/>
      <c r="EZ84" s="118"/>
      <c r="FA84" s="118"/>
      <c r="FB84" s="118"/>
      <c r="FC84" s="118"/>
      <c r="FD84" s="118"/>
      <c r="FE84" s="118"/>
      <c r="FF84" s="118"/>
      <c r="FG84" s="118"/>
      <c r="FH84" s="118"/>
      <c r="FI84" s="118"/>
      <c r="FJ84" s="118"/>
      <c r="FK84" s="118"/>
      <c r="FL84" s="118"/>
      <c r="FM84" s="118"/>
      <c r="FN84" s="118"/>
      <c r="FO84" s="118"/>
      <c r="FP84" s="118"/>
      <c r="FQ84" s="118"/>
      <c r="FR84" s="118"/>
      <c r="FS84" s="118"/>
      <c r="FT84" s="118"/>
      <c r="FU84" s="118"/>
      <c r="FV84" s="118"/>
      <c r="FW84" s="118"/>
      <c r="FX84" s="118"/>
      <c r="FY84" s="118"/>
      <c r="FZ84" s="118"/>
      <c r="GA84" s="118"/>
      <c r="GB84" s="118"/>
      <c r="GC84" s="118"/>
      <c r="GD84" s="118"/>
      <c r="GE84" s="118"/>
      <c r="GF84" s="118"/>
      <c r="GG84" s="118"/>
      <c r="GH84" s="118"/>
      <c r="GI84" s="118"/>
      <c r="GJ84" s="118"/>
      <c r="GK84" s="118"/>
      <c r="GL84" s="118"/>
      <c r="GM84" s="118"/>
      <c r="GN84" s="118"/>
      <c r="GO84" s="118"/>
      <c r="GP84" s="118"/>
    </row>
    <row r="85" spans="1:198" s="133" customFormat="1" ht="31.2">
      <c r="A85" s="618" t="s">
        <v>639</v>
      </c>
      <c r="B85" s="622" t="s">
        <v>420</v>
      </c>
      <c r="C85" s="631" t="s">
        <v>3</v>
      </c>
      <c r="D85" s="631">
        <f>CEILING(5.1*D84,1)</f>
        <v>41</v>
      </c>
      <c r="E85" s="631"/>
      <c r="F85" s="1051">
        <f t="shared" si="5"/>
        <v>0</v>
      </c>
      <c r="G85" s="132"/>
    </row>
    <row r="86" spans="1:198" s="133" customFormat="1" ht="15.6">
      <c r="A86" s="618" t="s">
        <v>640</v>
      </c>
      <c r="B86" s="622" t="s">
        <v>421</v>
      </c>
      <c r="C86" s="631" t="s">
        <v>3</v>
      </c>
      <c r="D86" s="631">
        <f>D85*2</f>
        <v>82</v>
      </c>
      <c r="E86" s="631"/>
      <c r="F86" s="1051">
        <f t="shared" si="5"/>
        <v>0</v>
      </c>
      <c r="G86" s="132"/>
    </row>
    <row r="87" spans="1:198" s="133" customFormat="1" ht="15.6">
      <c r="A87" s="618" t="s">
        <v>641</v>
      </c>
      <c r="B87" s="622" t="s">
        <v>422</v>
      </c>
      <c r="C87" s="631" t="s">
        <v>3</v>
      </c>
      <c r="D87" s="631">
        <f>D86</f>
        <v>82</v>
      </c>
      <c r="E87" s="631"/>
      <c r="F87" s="1051">
        <f t="shared" si="5"/>
        <v>0</v>
      </c>
      <c r="G87" s="132"/>
    </row>
    <row r="88" spans="1:198" s="133" customFormat="1" ht="15.6">
      <c r="A88" s="618"/>
      <c r="B88" s="623" t="s">
        <v>423</v>
      </c>
      <c r="C88" s="631" t="s">
        <v>5</v>
      </c>
      <c r="D88" s="631" t="s">
        <v>5</v>
      </c>
      <c r="E88" s="631"/>
      <c r="F88" s="1051"/>
      <c r="G88" s="132"/>
    </row>
    <row r="89" spans="1:198" s="133" customFormat="1" ht="31.2">
      <c r="A89" s="618" t="s">
        <v>642</v>
      </c>
      <c r="B89" s="622" t="s">
        <v>424</v>
      </c>
      <c r="C89" s="631" t="s">
        <v>5</v>
      </c>
      <c r="D89" s="631" t="s">
        <v>5</v>
      </c>
      <c r="E89" s="631"/>
      <c r="F89" s="1051"/>
      <c r="G89" s="132"/>
    </row>
    <row r="90" spans="1:198" s="133" customFormat="1" ht="15.6">
      <c r="A90" s="618" t="s">
        <v>643</v>
      </c>
      <c r="B90" s="622" t="s">
        <v>425</v>
      </c>
      <c r="C90" s="631" t="s">
        <v>118</v>
      </c>
      <c r="D90" s="631">
        <f>SUM(D84:D84)</f>
        <v>8</v>
      </c>
      <c r="E90" s="631"/>
      <c r="F90" s="1051">
        <f t="shared" si="5"/>
        <v>0</v>
      </c>
      <c r="G90" s="132"/>
    </row>
    <row r="91" spans="1:198" s="133" customFormat="1" ht="15.6">
      <c r="A91" s="618" t="s">
        <v>644</v>
      </c>
      <c r="B91" s="632" t="s">
        <v>426</v>
      </c>
      <c r="C91" s="633" t="s">
        <v>427</v>
      </c>
      <c r="D91" s="633">
        <f>CEILING(D90*3/2,1)</f>
        <v>12</v>
      </c>
      <c r="E91" s="633"/>
      <c r="F91" s="1052">
        <f t="shared" si="5"/>
        <v>0</v>
      </c>
      <c r="G91" s="132"/>
    </row>
    <row r="92" spans="1:198" s="133" customFormat="1" ht="15.6">
      <c r="A92" s="618" t="s">
        <v>645</v>
      </c>
      <c r="B92" s="622" t="s">
        <v>428</v>
      </c>
      <c r="C92" s="631" t="s">
        <v>118</v>
      </c>
      <c r="D92" s="631">
        <f>D90</f>
        <v>8</v>
      </c>
      <c r="E92" s="631"/>
      <c r="F92" s="1051">
        <f t="shared" si="5"/>
        <v>0</v>
      </c>
      <c r="G92" s="132"/>
    </row>
    <row r="93" spans="1:198" s="133" customFormat="1" ht="15.6">
      <c r="A93" s="618"/>
      <c r="B93" s="623" t="s">
        <v>429</v>
      </c>
      <c r="C93" s="631" t="s">
        <v>5</v>
      </c>
      <c r="D93" s="631" t="s">
        <v>5</v>
      </c>
      <c r="E93" s="631"/>
      <c r="F93" s="1051"/>
      <c r="G93" s="132"/>
    </row>
    <row r="94" spans="1:198" s="133" customFormat="1" ht="31.2">
      <c r="A94" s="618" t="s">
        <v>646</v>
      </c>
      <c r="B94" s="622" t="s">
        <v>430</v>
      </c>
      <c r="C94" s="631" t="s">
        <v>140</v>
      </c>
      <c r="D94" s="631" t="s">
        <v>281</v>
      </c>
      <c r="E94" s="631"/>
      <c r="F94" s="1051">
        <f>E94</f>
        <v>0</v>
      </c>
      <c r="G94" s="132"/>
    </row>
    <row r="95" spans="1:198" s="129" customFormat="1" ht="15.6">
      <c r="A95" s="634"/>
      <c r="B95" s="620" t="s">
        <v>462</v>
      </c>
      <c r="C95" s="620"/>
      <c r="D95" s="621"/>
      <c r="E95" s="621"/>
      <c r="F95" s="1051"/>
      <c r="G95" s="127"/>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28"/>
      <c r="BM95" s="128"/>
      <c r="BN95" s="128"/>
      <c r="BO95" s="128"/>
      <c r="BP95" s="128"/>
      <c r="BQ95" s="128"/>
      <c r="BR95" s="128"/>
      <c r="BS95" s="128"/>
      <c r="BT95" s="128"/>
      <c r="BU95" s="128"/>
      <c r="BV95" s="128"/>
      <c r="BW95" s="128"/>
      <c r="BX95" s="128"/>
      <c r="BY95" s="128"/>
      <c r="BZ95" s="128"/>
      <c r="CA95" s="128"/>
      <c r="CB95" s="128"/>
      <c r="CC95" s="128"/>
      <c r="CD95" s="128"/>
      <c r="CE95" s="128"/>
      <c r="CF95" s="128"/>
      <c r="CG95" s="128"/>
      <c r="CH95" s="128"/>
      <c r="CI95" s="128"/>
      <c r="CJ95" s="128"/>
      <c r="CK95" s="128"/>
      <c r="CL95" s="128"/>
      <c r="CM95" s="128"/>
      <c r="CN95" s="128"/>
      <c r="CO95" s="128"/>
      <c r="CP95" s="128"/>
      <c r="CQ95" s="128"/>
      <c r="CR95" s="128"/>
      <c r="CS95" s="128"/>
      <c r="CT95" s="128"/>
      <c r="CU95" s="128"/>
      <c r="CV95" s="128"/>
      <c r="CW95" s="128"/>
      <c r="CX95" s="128"/>
      <c r="CY95" s="128"/>
      <c r="CZ95" s="128"/>
      <c r="DA95" s="128"/>
      <c r="DB95" s="128"/>
      <c r="DC95" s="128"/>
      <c r="DD95" s="128"/>
      <c r="DE95" s="128"/>
      <c r="DF95" s="128"/>
      <c r="DG95" s="128"/>
      <c r="DH95" s="128"/>
      <c r="DI95" s="128"/>
      <c r="DJ95" s="128"/>
      <c r="DK95" s="128"/>
      <c r="DL95" s="128"/>
      <c r="DM95" s="128"/>
      <c r="DN95" s="128"/>
      <c r="DO95" s="128"/>
      <c r="DP95" s="128"/>
      <c r="DQ95" s="128"/>
      <c r="DR95" s="128"/>
      <c r="DS95" s="128"/>
      <c r="DT95" s="128"/>
      <c r="DU95" s="128"/>
      <c r="DV95" s="128"/>
      <c r="DW95" s="128"/>
      <c r="DX95" s="128"/>
      <c r="DY95" s="128"/>
      <c r="DZ95" s="128"/>
      <c r="EA95" s="128"/>
      <c r="EB95" s="128"/>
      <c r="EC95" s="128"/>
      <c r="ED95" s="128"/>
      <c r="EE95" s="128"/>
      <c r="EF95" s="128"/>
      <c r="EG95" s="128"/>
      <c r="EH95" s="128"/>
      <c r="EI95" s="128"/>
      <c r="EJ95" s="128"/>
      <c r="EK95" s="128"/>
      <c r="EL95" s="128"/>
      <c r="EM95" s="128"/>
      <c r="EN95" s="128"/>
      <c r="EO95" s="128"/>
      <c r="EP95" s="128"/>
      <c r="EQ95" s="128"/>
      <c r="ER95" s="128"/>
      <c r="ES95" s="128"/>
      <c r="ET95" s="128"/>
      <c r="EU95" s="128"/>
      <c r="EV95" s="128"/>
      <c r="EW95" s="128"/>
      <c r="EX95" s="128"/>
      <c r="EY95" s="128"/>
      <c r="EZ95" s="128"/>
      <c r="FA95" s="128"/>
      <c r="FB95" s="128"/>
      <c r="FC95" s="128"/>
      <c r="FD95" s="128"/>
      <c r="FE95" s="128"/>
      <c r="FF95" s="128"/>
      <c r="FG95" s="128"/>
      <c r="FH95" s="128"/>
      <c r="FI95" s="128"/>
      <c r="FJ95" s="128"/>
      <c r="FK95" s="128"/>
      <c r="FL95" s="128"/>
      <c r="FM95" s="128"/>
      <c r="FN95" s="128"/>
      <c r="FO95" s="128"/>
      <c r="FP95" s="128"/>
      <c r="FQ95" s="128"/>
      <c r="FR95" s="128"/>
      <c r="FS95" s="128"/>
      <c r="FT95" s="128"/>
      <c r="FU95" s="128"/>
      <c r="FV95" s="128"/>
      <c r="FW95" s="128"/>
      <c r="FX95" s="128"/>
      <c r="FY95" s="128"/>
      <c r="FZ95" s="128"/>
      <c r="GA95" s="128"/>
      <c r="GB95" s="128"/>
      <c r="GC95" s="128"/>
      <c r="GD95" s="128"/>
      <c r="GE95" s="128"/>
      <c r="GF95" s="128"/>
      <c r="GG95" s="128"/>
      <c r="GH95" s="128"/>
      <c r="GI95" s="128"/>
      <c r="GJ95" s="128"/>
      <c r="GK95" s="128"/>
      <c r="GL95" s="128"/>
      <c r="GM95" s="128"/>
      <c r="GN95" s="128"/>
      <c r="GO95" s="128"/>
      <c r="GP95" s="128"/>
    </row>
    <row r="96" spans="1:198" s="119" customFormat="1" ht="31.2">
      <c r="A96" s="634" t="s">
        <v>646</v>
      </c>
      <c r="B96" s="619" t="s">
        <v>823</v>
      </c>
      <c r="C96" s="619" t="s">
        <v>117</v>
      </c>
      <c r="D96" s="616">
        <v>8</v>
      </c>
      <c r="E96" s="616"/>
      <c r="F96" s="1051">
        <f t="shared" si="5"/>
        <v>0</v>
      </c>
      <c r="G96" s="117"/>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CY96" s="118"/>
      <c r="CZ96" s="118"/>
      <c r="DA96" s="118"/>
      <c r="DB96" s="118"/>
      <c r="DC96" s="118"/>
      <c r="DD96" s="118"/>
      <c r="DE96" s="118"/>
      <c r="DF96" s="118"/>
      <c r="DG96" s="118"/>
      <c r="DH96" s="118"/>
      <c r="DI96" s="118"/>
      <c r="DJ96" s="118"/>
      <c r="DK96" s="118"/>
      <c r="DL96" s="118"/>
      <c r="DM96" s="118"/>
      <c r="DN96" s="118"/>
      <c r="DO96" s="118"/>
      <c r="DP96" s="118"/>
      <c r="DQ96" s="118"/>
      <c r="DR96" s="118"/>
      <c r="DS96" s="118"/>
      <c r="DT96" s="118"/>
      <c r="DU96" s="118"/>
      <c r="DV96" s="118"/>
      <c r="DW96" s="118"/>
      <c r="DX96" s="118"/>
      <c r="DY96" s="118"/>
      <c r="DZ96" s="118"/>
      <c r="EA96" s="118"/>
      <c r="EB96" s="118"/>
      <c r="EC96" s="118"/>
      <c r="ED96" s="118"/>
      <c r="EE96" s="118"/>
      <c r="EF96" s="118"/>
      <c r="EG96" s="118"/>
      <c r="EH96" s="118"/>
      <c r="EI96" s="118"/>
      <c r="EJ96" s="118"/>
      <c r="EK96" s="118"/>
      <c r="EL96" s="118"/>
      <c r="EM96" s="118"/>
      <c r="EN96" s="118"/>
      <c r="EO96" s="118"/>
      <c r="EP96" s="118"/>
      <c r="EQ96" s="118"/>
      <c r="ER96" s="118"/>
      <c r="ES96" s="118"/>
      <c r="ET96" s="118"/>
      <c r="EU96" s="118"/>
      <c r="EV96" s="118"/>
      <c r="EW96" s="118"/>
      <c r="EX96" s="118"/>
      <c r="EY96" s="118"/>
      <c r="EZ96" s="118"/>
      <c r="FA96" s="118"/>
      <c r="FB96" s="118"/>
      <c r="FC96" s="118"/>
      <c r="FD96" s="118"/>
      <c r="FE96" s="118"/>
      <c r="FF96" s="118"/>
      <c r="FG96" s="118"/>
      <c r="FH96" s="118"/>
      <c r="FI96" s="118"/>
      <c r="FJ96" s="118"/>
      <c r="FK96" s="118"/>
      <c r="FL96" s="118"/>
      <c r="FM96" s="118"/>
      <c r="FN96" s="118"/>
      <c r="FO96" s="118"/>
      <c r="FP96" s="118"/>
      <c r="FQ96" s="118"/>
      <c r="FR96" s="118"/>
      <c r="FS96" s="118"/>
      <c r="FT96" s="118"/>
      <c r="FU96" s="118"/>
      <c r="FV96" s="118"/>
      <c r="FW96" s="118"/>
      <c r="FX96" s="118"/>
      <c r="FY96" s="118"/>
      <c r="FZ96" s="118"/>
      <c r="GA96" s="118"/>
      <c r="GB96" s="118"/>
      <c r="GC96" s="118"/>
      <c r="GD96" s="118"/>
      <c r="GE96" s="118"/>
      <c r="GF96" s="118"/>
      <c r="GG96" s="118"/>
      <c r="GH96" s="118"/>
      <c r="GI96" s="118"/>
      <c r="GJ96" s="118"/>
      <c r="GK96" s="118"/>
      <c r="GL96" s="118"/>
      <c r="GM96" s="118"/>
      <c r="GN96" s="118"/>
      <c r="GO96" s="118"/>
      <c r="GP96" s="118"/>
    </row>
    <row r="97" spans="1:198" s="129" customFormat="1" ht="15.6">
      <c r="A97" s="634"/>
      <c r="B97" s="620" t="s">
        <v>114</v>
      </c>
      <c r="C97" s="620"/>
      <c r="D97" s="621"/>
      <c r="E97" s="621"/>
      <c r="F97" s="1051">
        <f t="shared" si="5"/>
        <v>0</v>
      </c>
      <c r="G97" s="127"/>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c r="BY97" s="128"/>
      <c r="BZ97" s="128"/>
      <c r="CA97" s="128"/>
      <c r="CB97" s="128"/>
      <c r="CC97" s="128"/>
      <c r="CD97" s="128"/>
      <c r="CE97" s="128"/>
      <c r="CF97" s="128"/>
      <c r="CG97" s="128"/>
      <c r="CH97" s="128"/>
      <c r="CI97" s="128"/>
      <c r="CJ97" s="128"/>
      <c r="CK97" s="128"/>
      <c r="CL97" s="128"/>
      <c r="CM97" s="128"/>
      <c r="CN97" s="128"/>
      <c r="CO97" s="128"/>
      <c r="CP97" s="128"/>
      <c r="CQ97" s="128"/>
      <c r="CR97" s="128"/>
      <c r="CS97" s="128"/>
      <c r="CT97" s="128"/>
      <c r="CU97" s="128"/>
      <c r="CV97" s="128"/>
      <c r="CW97" s="128"/>
      <c r="CX97" s="128"/>
      <c r="CY97" s="128"/>
      <c r="CZ97" s="128"/>
      <c r="DA97" s="128"/>
      <c r="DB97" s="128"/>
      <c r="DC97" s="128"/>
      <c r="DD97" s="128"/>
      <c r="DE97" s="128"/>
      <c r="DF97" s="128"/>
      <c r="DG97" s="128"/>
      <c r="DH97" s="128"/>
      <c r="DI97" s="128"/>
      <c r="DJ97" s="128"/>
      <c r="DK97" s="128"/>
      <c r="DL97" s="128"/>
      <c r="DM97" s="128"/>
      <c r="DN97" s="128"/>
      <c r="DO97" s="128"/>
      <c r="DP97" s="128"/>
      <c r="DQ97" s="128"/>
      <c r="DR97" s="128"/>
      <c r="DS97" s="128"/>
      <c r="DT97" s="128"/>
      <c r="DU97" s="128"/>
      <c r="DV97" s="128"/>
      <c r="DW97" s="128"/>
      <c r="DX97" s="128"/>
      <c r="DY97" s="128"/>
      <c r="DZ97" s="128"/>
      <c r="EA97" s="128"/>
      <c r="EB97" s="128"/>
      <c r="EC97" s="128"/>
      <c r="ED97" s="128"/>
      <c r="EE97" s="128"/>
      <c r="EF97" s="128"/>
      <c r="EG97" s="128"/>
      <c r="EH97" s="128"/>
      <c r="EI97" s="128"/>
      <c r="EJ97" s="128"/>
      <c r="EK97" s="128"/>
      <c r="EL97" s="128"/>
      <c r="EM97" s="128"/>
      <c r="EN97" s="128"/>
      <c r="EO97" s="128"/>
      <c r="EP97" s="128"/>
      <c r="EQ97" s="128"/>
      <c r="ER97" s="128"/>
      <c r="ES97" s="128"/>
      <c r="ET97" s="128"/>
      <c r="EU97" s="128"/>
      <c r="EV97" s="128"/>
      <c r="EW97" s="128"/>
      <c r="EX97" s="128"/>
      <c r="EY97" s="128"/>
      <c r="EZ97" s="128"/>
      <c r="FA97" s="128"/>
      <c r="FB97" s="128"/>
      <c r="FC97" s="128"/>
      <c r="FD97" s="128"/>
      <c r="FE97" s="128"/>
      <c r="FF97" s="128"/>
      <c r="FG97" s="128"/>
      <c r="FH97" s="128"/>
      <c r="FI97" s="128"/>
      <c r="FJ97" s="128"/>
      <c r="FK97" s="128"/>
      <c r="FL97" s="128"/>
      <c r="FM97" s="128"/>
      <c r="FN97" s="128"/>
      <c r="FO97" s="128"/>
      <c r="FP97" s="128"/>
      <c r="FQ97" s="128"/>
      <c r="FR97" s="128"/>
      <c r="FS97" s="128"/>
      <c r="FT97" s="128"/>
      <c r="FU97" s="128"/>
      <c r="FV97" s="128"/>
      <c r="FW97" s="128"/>
      <c r="FX97" s="128"/>
      <c r="FY97" s="128"/>
      <c r="FZ97" s="128"/>
      <c r="GA97" s="128"/>
      <c r="GB97" s="128"/>
      <c r="GC97" s="128"/>
      <c r="GD97" s="128"/>
      <c r="GE97" s="128"/>
      <c r="GF97" s="128"/>
      <c r="GG97" s="128"/>
      <c r="GH97" s="128"/>
      <c r="GI97" s="128"/>
      <c r="GJ97" s="128"/>
      <c r="GK97" s="128"/>
      <c r="GL97" s="128"/>
      <c r="GM97" s="128"/>
      <c r="GN97" s="128"/>
      <c r="GO97" s="128"/>
      <c r="GP97" s="128"/>
    </row>
    <row r="98" spans="1:198" s="133" customFormat="1" ht="15.6">
      <c r="A98" s="635"/>
      <c r="B98" s="636" t="s">
        <v>432</v>
      </c>
      <c r="C98" s="637"/>
      <c r="D98" s="637"/>
      <c r="E98" s="637"/>
      <c r="F98" s="1051">
        <f t="shared" si="5"/>
        <v>0</v>
      </c>
      <c r="G98" s="132"/>
    </row>
    <row r="99" spans="1:198" s="133" customFormat="1" ht="31.2">
      <c r="A99" s="634" t="s">
        <v>647</v>
      </c>
      <c r="B99" s="638" t="s">
        <v>433</v>
      </c>
      <c r="C99" s="637" t="s">
        <v>434</v>
      </c>
      <c r="D99" s="639">
        <f>D29</f>
        <v>58</v>
      </c>
      <c r="E99" s="637"/>
      <c r="F99" s="1051">
        <f t="shared" si="5"/>
        <v>0</v>
      </c>
      <c r="G99" s="132"/>
    </row>
    <row r="100" spans="1:198" s="133" customFormat="1" ht="15.6">
      <c r="A100" s="634"/>
      <c r="B100" s="636" t="s">
        <v>435</v>
      </c>
      <c r="C100" s="637"/>
      <c r="D100" s="637"/>
      <c r="E100" s="637"/>
      <c r="F100" s="1051">
        <f t="shared" si="5"/>
        <v>0</v>
      </c>
      <c r="G100" s="132"/>
    </row>
    <row r="101" spans="1:198" s="133" customFormat="1" ht="31.2">
      <c r="A101" s="634" t="s">
        <v>648</v>
      </c>
      <c r="B101" s="638" t="s">
        <v>436</v>
      </c>
      <c r="C101" s="637" t="s">
        <v>434</v>
      </c>
      <c r="D101" s="639">
        <f>D99</f>
        <v>58</v>
      </c>
      <c r="E101" s="637"/>
      <c r="F101" s="1051">
        <f>E101*D101</f>
        <v>0</v>
      </c>
      <c r="G101" s="132"/>
    </row>
    <row r="102" spans="1:198" s="145" customFormat="1" ht="15.6">
      <c r="A102" s="640"/>
      <c r="B102" s="641" t="s">
        <v>490</v>
      </c>
      <c r="C102" s="642"/>
      <c r="D102" s="642"/>
      <c r="E102" s="642"/>
      <c r="F102" s="1050">
        <f>SUM(F66:F101)</f>
        <v>0</v>
      </c>
      <c r="G102" s="144"/>
    </row>
    <row r="103" spans="1:198" s="152" customFormat="1">
      <c r="A103" s="593" t="s">
        <v>82</v>
      </c>
      <c r="B103" s="594" t="s">
        <v>7</v>
      </c>
      <c r="C103" s="595" t="s">
        <v>141</v>
      </c>
      <c r="D103" s="596" t="s">
        <v>142</v>
      </c>
      <c r="E103" s="597" t="s">
        <v>143</v>
      </c>
      <c r="F103" s="1043" t="s">
        <v>289</v>
      </c>
      <c r="G103" s="569"/>
    </row>
    <row r="104" spans="1:198" s="52" customFormat="1" ht="31.2">
      <c r="A104" s="593"/>
      <c r="B104" s="643" t="s">
        <v>491</v>
      </c>
      <c r="C104" s="644"/>
      <c r="D104" s="645"/>
      <c r="E104" s="644"/>
      <c r="F104" s="1053"/>
      <c r="G104" s="77"/>
    </row>
    <row r="105" spans="1:198" s="159" customFormat="1" ht="15.6">
      <c r="A105" s="646"/>
      <c r="B105" s="647"/>
      <c r="C105" s="648"/>
      <c r="D105" s="649"/>
      <c r="E105" s="650"/>
      <c r="F105" s="1054">
        <f t="shared" ref="F105:F115" si="6">E105*D105</f>
        <v>0</v>
      </c>
      <c r="G105" s="158"/>
    </row>
    <row r="106" spans="1:198" s="165" customFormat="1" ht="15.6">
      <c r="A106" s="499"/>
      <c r="B106" s="647" t="s">
        <v>122</v>
      </c>
      <c r="C106" s="644"/>
      <c r="D106" s="645"/>
      <c r="E106" s="644"/>
      <c r="F106" s="1054">
        <f t="shared" si="6"/>
        <v>0</v>
      </c>
      <c r="G106" s="164"/>
    </row>
    <row r="107" spans="1:198" s="165" customFormat="1" ht="62.4">
      <c r="A107" s="499"/>
      <c r="B107" s="651" t="s">
        <v>280</v>
      </c>
      <c r="C107" s="652"/>
      <c r="D107" s="645"/>
      <c r="E107" s="644"/>
      <c r="F107" s="1054">
        <f t="shared" si="6"/>
        <v>0</v>
      </c>
      <c r="G107" s="164"/>
    </row>
    <row r="108" spans="1:198" s="165" customFormat="1" ht="15.6">
      <c r="A108" s="499" t="s">
        <v>649</v>
      </c>
      <c r="B108" s="653" t="s">
        <v>507</v>
      </c>
      <c r="C108" s="652" t="s">
        <v>4</v>
      </c>
      <c r="D108" s="652">
        <v>8</v>
      </c>
      <c r="E108" s="644"/>
      <c r="F108" s="1054">
        <f t="shared" si="6"/>
        <v>0</v>
      </c>
      <c r="G108" s="164"/>
    </row>
    <row r="109" spans="1:198" s="165" customFormat="1" ht="15.6">
      <c r="A109" s="499"/>
      <c r="B109" s="654" t="s">
        <v>123</v>
      </c>
      <c r="C109" s="652"/>
      <c r="D109" s="652"/>
      <c r="E109" s="644"/>
      <c r="F109" s="1054">
        <f t="shared" si="6"/>
        <v>0</v>
      </c>
      <c r="G109" s="164"/>
    </row>
    <row r="110" spans="1:198" s="165" customFormat="1" ht="15.6">
      <c r="A110" s="499" t="s">
        <v>650</v>
      </c>
      <c r="B110" s="653" t="s">
        <v>124</v>
      </c>
      <c r="C110" s="652" t="s">
        <v>117</v>
      </c>
      <c r="D110" s="652">
        <f>D108</f>
        <v>8</v>
      </c>
      <c r="E110" s="644"/>
      <c r="F110" s="1054">
        <f t="shared" si="6"/>
        <v>0</v>
      </c>
      <c r="G110" s="164"/>
    </row>
    <row r="111" spans="1:198" s="165" customFormat="1" ht="15.6">
      <c r="A111" s="499"/>
      <c r="B111" s="643" t="s">
        <v>125</v>
      </c>
      <c r="C111" s="644"/>
      <c r="D111" s="645"/>
      <c r="E111" s="644"/>
      <c r="F111" s="1054">
        <f t="shared" si="6"/>
        <v>0</v>
      </c>
      <c r="G111" s="164"/>
    </row>
    <row r="112" spans="1:198" s="165" customFormat="1" ht="15.6">
      <c r="A112" s="499"/>
      <c r="B112" s="654" t="s">
        <v>128</v>
      </c>
      <c r="C112" s="644"/>
      <c r="D112" s="645"/>
      <c r="E112" s="644"/>
      <c r="F112" s="1054">
        <f t="shared" si="6"/>
        <v>0</v>
      </c>
      <c r="G112" s="164"/>
    </row>
    <row r="113" spans="1:7" s="165" customFormat="1" ht="93.6">
      <c r="A113" s="499"/>
      <c r="B113" s="653" t="s">
        <v>508</v>
      </c>
      <c r="C113" s="652"/>
      <c r="D113" s="645"/>
      <c r="E113" s="644"/>
      <c r="F113" s="1054">
        <f t="shared" si="6"/>
        <v>0</v>
      </c>
      <c r="G113" s="164"/>
    </row>
    <row r="114" spans="1:7" s="165" customFormat="1" ht="15.6">
      <c r="A114" s="499" t="s">
        <v>650</v>
      </c>
      <c r="B114" s="655" t="s">
        <v>129</v>
      </c>
      <c r="C114" s="652" t="s">
        <v>130</v>
      </c>
      <c r="D114" s="645">
        <v>80</v>
      </c>
      <c r="E114" s="644"/>
      <c r="F114" s="1054">
        <f t="shared" si="6"/>
        <v>0</v>
      </c>
      <c r="G114" s="164"/>
    </row>
    <row r="115" spans="1:7" s="165" customFormat="1" ht="46.8">
      <c r="A115" s="656"/>
      <c r="B115" s="657" t="s">
        <v>509</v>
      </c>
      <c r="C115" s="633"/>
      <c r="D115" s="645"/>
      <c r="E115" s="644"/>
      <c r="F115" s="1054">
        <f t="shared" si="6"/>
        <v>0</v>
      </c>
      <c r="G115" s="164"/>
    </row>
    <row r="116" spans="1:7" s="103" customFormat="1" ht="15.6">
      <c r="A116" s="646"/>
      <c r="B116" s="658" t="s">
        <v>492</v>
      </c>
      <c r="C116" s="659"/>
      <c r="D116" s="660"/>
      <c r="E116" s="661"/>
      <c r="F116" s="1055">
        <f>SUM(F107:F115)</f>
        <v>0</v>
      </c>
      <c r="G116" s="179"/>
    </row>
    <row r="117" spans="1:7" s="103" customFormat="1" ht="15.6">
      <c r="A117" s="646"/>
      <c r="B117" s="658"/>
      <c r="C117" s="659"/>
      <c r="D117" s="660"/>
      <c r="E117" s="661"/>
      <c r="F117" s="1055"/>
      <c r="G117" s="179"/>
    </row>
    <row r="118" spans="1:7" s="103" customFormat="1" ht="15.6">
      <c r="A118" s="593" t="s">
        <v>82</v>
      </c>
      <c r="B118" s="594" t="s">
        <v>7</v>
      </c>
      <c r="C118" s="595" t="s">
        <v>141</v>
      </c>
      <c r="D118" s="596" t="s">
        <v>142</v>
      </c>
      <c r="E118" s="597" t="s">
        <v>143</v>
      </c>
      <c r="F118" s="1043" t="s">
        <v>289</v>
      </c>
      <c r="G118" s="179"/>
    </row>
    <row r="119" spans="1:7" s="103" customFormat="1" ht="31.2">
      <c r="A119" s="662"/>
      <c r="B119" s="643" t="s">
        <v>541</v>
      </c>
      <c r="C119" s="663"/>
      <c r="D119" s="664"/>
      <c r="E119" s="663"/>
      <c r="F119" s="1056"/>
      <c r="G119" s="179"/>
    </row>
    <row r="120" spans="1:7" s="103" customFormat="1" ht="15.6">
      <c r="A120" s="665" t="s">
        <v>5</v>
      </c>
      <c r="B120" s="655" t="s">
        <v>542</v>
      </c>
      <c r="C120" s="663" t="s">
        <v>5</v>
      </c>
      <c r="D120" s="664" t="s">
        <v>5</v>
      </c>
      <c r="E120" s="663"/>
      <c r="F120" s="1057" t="s">
        <v>5</v>
      </c>
      <c r="G120" s="179"/>
    </row>
    <row r="121" spans="1:7" s="103" customFormat="1" ht="15.6">
      <c r="A121" s="665" t="s">
        <v>5</v>
      </c>
      <c r="B121" s="655" t="s">
        <v>543</v>
      </c>
      <c r="C121" s="663"/>
      <c r="D121" s="664"/>
      <c r="E121" s="663"/>
      <c r="F121" s="1057"/>
      <c r="G121" s="179"/>
    </row>
    <row r="122" spans="1:7" s="103" customFormat="1" ht="62.4">
      <c r="A122" s="665"/>
      <c r="B122" s="655" t="s">
        <v>544</v>
      </c>
      <c r="C122" s="663"/>
      <c r="D122" s="664"/>
      <c r="E122" s="663"/>
      <c r="F122" s="1057"/>
      <c r="G122" s="179"/>
    </row>
    <row r="123" spans="1:7" s="103" customFormat="1" ht="15.6">
      <c r="A123" s="665" t="s">
        <v>651</v>
      </c>
      <c r="B123" s="655" t="s">
        <v>546</v>
      </c>
      <c r="C123" s="663" t="s">
        <v>545</v>
      </c>
      <c r="D123" s="664">
        <f>CEILING(58.2+12*2,1)</f>
        <v>83</v>
      </c>
      <c r="E123" s="663"/>
      <c r="F123" s="1057">
        <f t="shared" ref="F123:F132" si="7">E123*D123</f>
        <v>0</v>
      </c>
      <c r="G123" s="179"/>
    </row>
    <row r="124" spans="1:7" s="103" customFormat="1" ht="15.6">
      <c r="A124" s="665" t="s">
        <v>5</v>
      </c>
      <c r="B124" s="655" t="s">
        <v>547</v>
      </c>
      <c r="C124" s="663" t="s">
        <v>5</v>
      </c>
      <c r="D124" s="664" t="s">
        <v>5</v>
      </c>
      <c r="E124" s="663"/>
      <c r="F124" s="1057"/>
      <c r="G124" s="179"/>
    </row>
    <row r="125" spans="1:7" s="103" customFormat="1" ht="15.6">
      <c r="A125" s="665" t="s">
        <v>5</v>
      </c>
      <c r="B125" s="655" t="s">
        <v>548</v>
      </c>
      <c r="C125" s="663" t="s">
        <v>5</v>
      </c>
      <c r="D125" s="664" t="s">
        <v>5</v>
      </c>
      <c r="E125" s="663"/>
      <c r="F125" s="1057"/>
      <c r="G125" s="179"/>
    </row>
    <row r="126" spans="1:7" s="103" customFormat="1" ht="15.6">
      <c r="A126" s="665" t="s">
        <v>652</v>
      </c>
      <c r="B126" s="655" t="s">
        <v>549</v>
      </c>
      <c r="C126" s="663" t="s">
        <v>118</v>
      </c>
      <c r="D126" s="664">
        <v>8</v>
      </c>
      <c r="E126" s="663"/>
      <c r="F126" s="1057">
        <f t="shared" si="7"/>
        <v>0</v>
      </c>
      <c r="G126" s="179"/>
    </row>
    <row r="127" spans="1:7" s="103" customFormat="1" ht="15.6">
      <c r="A127" s="665" t="s">
        <v>5</v>
      </c>
      <c r="B127" s="655" t="s">
        <v>550</v>
      </c>
      <c r="C127" s="663" t="s">
        <v>5</v>
      </c>
      <c r="D127" s="664" t="s">
        <v>5</v>
      </c>
      <c r="E127" s="663"/>
      <c r="F127" s="1057"/>
      <c r="G127" s="179"/>
    </row>
    <row r="128" spans="1:7" s="103" customFormat="1" ht="15.6">
      <c r="A128" s="665" t="s">
        <v>653</v>
      </c>
      <c r="B128" s="655" t="s">
        <v>549</v>
      </c>
      <c r="C128" s="663" t="s">
        <v>118</v>
      </c>
      <c r="D128" s="664">
        <v>29</v>
      </c>
      <c r="E128" s="663"/>
      <c r="F128" s="1057">
        <f t="shared" si="7"/>
        <v>0</v>
      </c>
      <c r="G128" s="179"/>
    </row>
    <row r="129" spans="1:7" s="103" customFormat="1" ht="15.6">
      <c r="A129" s="665" t="s">
        <v>5</v>
      </c>
      <c r="B129" s="655" t="s">
        <v>551</v>
      </c>
      <c r="C129" s="663" t="s">
        <v>5</v>
      </c>
      <c r="D129" s="664" t="s">
        <v>5</v>
      </c>
      <c r="E129" s="663"/>
      <c r="F129" s="1057"/>
      <c r="G129" s="179"/>
    </row>
    <row r="130" spans="1:7" s="103" customFormat="1" ht="15.6">
      <c r="A130" s="665" t="s">
        <v>654</v>
      </c>
      <c r="B130" s="655" t="s">
        <v>552</v>
      </c>
      <c r="C130" s="663" t="s">
        <v>118</v>
      </c>
      <c r="D130" s="664">
        <v>1</v>
      </c>
      <c r="E130" s="663"/>
      <c r="F130" s="1057">
        <f t="shared" si="7"/>
        <v>0</v>
      </c>
      <c r="G130" s="179"/>
    </row>
    <row r="131" spans="1:7" s="103" customFormat="1" ht="46.8">
      <c r="A131" s="665" t="s">
        <v>655</v>
      </c>
      <c r="B131" s="655" t="s">
        <v>554</v>
      </c>
      <c r="C131" s="663" t="s">
        <v>553</v>
      </c>
      <c r="D131" s="664">
        <v>1</v>
      </c>
      <c r="E131" s="663"/>
      <c r="F131" s="1057">
        <f t="shared" si="7"/>
        <v>0</v>
      </c>
      <c r="G131" s="179"/>
    </row>
    <row r="132" spans="1:7" s="103" customFormat="1" ht="31.2">
      <c r="A132" s="665" t="s">
        <v>656</v>
      </c>
      <c r="B132" s="655" t="s">
        <v>555</v>
      </c>
      <c r="C132" s="663" t="s">
        <v>4</v>
      </c>
      <c r="D132" s="664">
        <v>1</v>
      </c>
      <c r="E132" s="663"/>
      <c r="F132" s="1057">
        <f t="shared" si="7"/>
        <v>0</v>
      </c>
      <c r="G132" s="179"/>
    </row>
    <row r="133" spans="1:7" s="103" customFormat="1" ht="15.6">
      <c r="A133" s="665"/>
      <c r="B133" s="655"/>
      <c r="C133" s="663"/>
      <c r="D133" s="664"/>
      <c r="E133" s="663"/>
      <c r="F133" s="1057"/>
      <c r="G133" s="179"/>
    </row>
    <row r="134" spans="1:7" s="560" customFormat="1" ht="15.6">
      <c r="A134" s="665" t="s">
        <v>5</v>
      </c>
      <c r="B134" s="666" t="s">
        <v>556</v>
      </c>
      <c r="C134" s="667" t="s">
        <v>5</v>
      </c>
      <c r="D134" s="668" t="s">
        <v>5</v>
      </c>
      <c r="E134" s="667"/>
      <c r="F134" s="1058" t="s">
        <v>557</v>
      </c>
      <c r="G134" s="559"/>
    </row>
    <row r="135" spans="1:7" s="560" customFormat="1" ht="171.6">
      <c r="A135" s="665" t="s">
        <v>5</v>
      </c>
      <c r="B135" s="666" t="s">
        <v>558</v>
      </c>
      <c r="C135" s="667"/>
      <c r="D135" s="668"/>
      <c r="E135" s="667"/>
      <c r="F135" s="1058"/>
      <c r="G135" s="559"/>
    </row>
    <row r="136" spans="1:7" s="560" customFormat="1" ht="15.6">
      <c r="A136" s="665">
        <v>5.27</v>
      </c>
      <c r="B136" s="666" t="s">
        <v>559</v>
      </c>
      <c r="C136" s="667" t="s">
        <v>560</v>
      </c>
      <c r="D136" s="668">
        <v>97</v>
      </c>
      <c r="E136" s="667"/>
      <c r="F136" s="1058">
        <f t="shared" ref="F136:F139" si="8">E136*D136</f>
        <v>0</v>
      </c>
      <c r="G136" s="559"/>
    </row>
    <row r="137" spans="1:7" s="560" customFormat="1" ht="15.6">
      <c r="A137" s="665">
        <v>5.28</v>
      </c>
      <c r="B137" s="666" t="s">
        <v>561</v>
      </c>
      <c r="C137" s="667" t="s">
        <v>560</v>
      </c>
      <c r="D137" s="668">
        <v>9</v>
      </c>
      <c r="E137" s="667"/>
      <c r="F137" s="1058">
        <f t="shared" si="8"/>
        <v>0</v>
      </c>
      <c r="G137" s="559"/>
    </row>
    <row r="138" spans="1:7" s="560" customFormat="1" ht="15.6">
      <c r="A138" s="665">
        <v>5.29</v>
      </c>
      <c r="B138" s="666" t="s">
        <v>562</v>
      </c>
      <c r="C138" s="667" t="s">
        <v>560</v>
      </c>
      <c r="D138" s="668">
        <v>5</v>
      </c>
      <c r="E138" s="667"/>
      <c r="F138" s="1058">
        <f t="shared" si="8"/>
        <v>0</v>
      </c>
      <c r="G138" s="559"/>
    </row>
    <row r="139" spans="1:7" s="560" customFormat="1" ht="15.6">
      <c r="A139" s="669">
        <v>5.3</v>
      </c>
      <c r="B139" s="670" t="s">
        <v>563</v>
      </c>
      <c r="C139" s="671" t="s">
        <v>560</v>
      </c>
      <c r="D139" s="668">
        <v>5</v>
      </c>
      <c r="E139" s="667"/>
      <c r="F139" s="1058">
        <f t="shared" si="8"/>
        <v>0</v>
      </c>
      <c r="G139" s="559"/>
    </row>
    <row r="140" spans="1:7" s="560" customFormat="1" ht="15.6">
      <c r="A140" s="669" t="s">
        <v>5</v>
      </c>
      <c r="B140" s="670" t="s">
        <v>564</v>
      </c>
      <c r="C140" s="671" t="s">
        <v>5</v>
      </c>
      <c r="D140" s="668" t="s">
        <v>5</v>
      </c>
      <c r="E140" s="667"/>
      <c r="F140" s="1058"/>
      <c r="G140" s="559"/>
    </row>
    <row r="141" spans="1:7" s="560" customFormat="1" ht="15.6">
      <c r="A141" s="669">
        <v>5.31</v>
      </c>
      <c r="B141" s="670" t="s">
        <v>565</v>
      </c>
      <c r="C141" s="671" t="s">
        <v>118</v>
      </c>
      <c r="D141" s="668">
        <v>3</v>
      </c>
      <c r="E141" s="667"/>
      <c r="F141" s="1058">
        <f t="shared" ref="F141:F160" si="9">E141*D141</f>
        <v>0</v>
      </c>
      <c r="G141" s="559"/>
    </row>
    <row r="142" spans="1:7" s="560" customFormat="1" ht="15.6">
      <c r="A142" s="669">
        <v>5.32</v>
      </c>
      <c r="B142" s="670" t="s">
        <v>566</v>
      </c>
      <c r="C142" s="671" t="s">
        <v>118</v>
      </c>
      <c r="D142" s="668">
        <v>5</v>
      </c>
      <c r="E142" s="667"/>
      <c r="F142" s="1058">
        <f t="shared" si="9"/>
        <v>0</v>
      </c>
      <c r="G142" s="559"/>
    </row>
    <row r="143" spans="1:7" s="560" customFormat="1" ht="15.6">
      <c r="A143" s="672">
        <v>5.33</v>
      </c>
      <c r="B143" s="673" t="s">
        <v>567</v>
      </c>
      <c r="C143" s="674" t="s">
        <v>118</v>
      </c>
      <c r="D143" s="675">
        <v>12</v>
      </c>
      <c r="E143" s="676"/>
      <c r="F143" s="1058">
        <f t="shared" si="9"/>
        <v>0</v>
      </c>
      <c r="G143" s="559"/>
    </row>
    <row r="144" spans="1:7" s="560" customFormat="1" ht="15.6">
      <c r="A144" s="672">
        <v>5.34</v>
      </c>
      <c r="B144" s="677" t="s">
        <v>568</v>
      </c>
      <c r="C144" s="677" t="s">
        <v>118</v>
      </c>
      <c r="D144" s="677">
        <v>5</v>
      </c>
      <c r="E144" s="677"/>
      <c r="F144" s="1058">
        <f t="shared" si="9"/>
        <v>0</v>
      </c>
      <c r="G144" s="559"/>
    </row>
    <row r="145" spans="1:7" s="560" customFormat="1" ht="15.6">
      <c r="A145" s="672">
        <v>5.35</v>
      </c>
      <c r="B145" s="677" t="s">
        <v>569</v>
      </c>
      <c r="C145" s="677" t="s">
        <v>118</v>
      </c>
      <c r="D145" s="677">
        <v>5</v>
      </c>
      <c r="E145" s="677"/>
      <c r="F145" s="1058">
        <f t="shared" si="9"/>
        <v>0</v>
      </c>
      <c r="G145" s="559"/>
    </row>
    <row r="146" spans="1:7" s="560" customFormat="1" ht="15.6">
      <c r="A146" s="672">
        <v>5.36</v>
      </c>
      <c r="B146" s="677" t="s">
        <v>570</v>
      </c>
      <c r="C146" s="677" t="s">
        <v>118</v>
      </c>
      <c r="D146" s="677">
        <v>5</v>
      </c>
      <c r="E146" s="677"/>
      <c r="F146" s="1058">
        <f t="shared" si="9"/>
        <v>0</v>
      </c>
      <c r="G146" s="559"/>
    </row>
    <row r="147" spans="1:7" s="560" customFormat="1" ht="15.6">
      <c r="A147" s="672">
        <v>5.37</v>
      </c>
      <c r="B147" s="677" t="s">
        <v>571</v>
      </c>
      <c r="C147" s="677" t="s">
        <v>118</v>
      </c>
      <c r="D147" s="677">
        <v>2</v>
      </c>
      <c r="E147" s="677"/>
      <c r="F147" s="1058">
        <f t="shared" si="9"/>
        <v>0</v>
      </c>
      <c r="G147" s="559"/>
    </row>
    <row r="148" spans="1:7" s="560" customFormat="1" ht="15.6">
      <c r="A148" s="672">
        <v>5.38</v>
      </c>
      <c r="B148" s="677" t="s">
        <v>572</v>
      </c>
      <c r="C148" s="677" t="s">
        <v>118</v>
      </c>
      <c r="D148" s="677">
        <v>2</v>
      </c>
      <c r="E148" s="677"/>
      <c r="F148" s="1058">
        <f t="shared" si="9"/>
        <v>0</v>
      </c>
      <c r="G148" s="559"/>
    </row>
    <row r="149" spans="1:7" s="560" customFormat="1" ht="15.6">
      <c r="A149" s="672">
        <v>5.39</v>
      </c>
      <c r="B149" s="677" t="s">
        <v>573</v>
      </c>
      <c r="C149" s="677" t="s">
        <v>118</v>
      </c>
      <c r="D149" s="677">
        <v>2</v>
      </c>
      <c r="E149" s="677"/>
      <c r="F149" s="1058">
        <f t="shared" si="9"/>
        <v>0</v>
      </c>
      <c r="G149" s="559"/>
    </row>
    <row r="150" spans="1:7" s="560" customFormat="1" ht="15.6">
      <c r="A150" s="672">
        <v>5.4</v>
      </c>
      <c r="B150" s="677" t="s">
        <v>574</v>
      </c>
      <c r="C150" s="677" t="s">
        <v>118</v>
      </c>
      <c r="D150" s="677">
        <v>2</v>
      </c>
      <c r="E150" s="677"/>
      <c r="F150" s="1058">
        <f t="shared" si="9"/>
        <v>0</v>
      </c>
      <c r="G150" s="559"/>
    </row>
    <row r="151" spans="1:7" s="560" customFormat="1" ht="15.6">
      <c r="A151" s="672">
        <v>5.41</v>
      </c>
      <c r="B151" s="674" t="s">
        <v>575</v>
      </c>
      <c r="C151" s="677" t="s">
        <v>118</v>
      </c>
      <c r="D151" s="677">
        <v>8</v>
      </c>
      <c r="E151" s="677"/>
      <c r="F151" s="1058">
        <f t="shared" si="9"/>
        <v>0</v>
      </c>
      <c r="G151" s="559"/>
    </row>
    <row r="152" spans="1:7" s="560" customFormat="1" ht="15.6">
      <c r="A152" s="672">
        <v>5.42</v>
      </c>
      <c r="B152" s="677" t="s">
        <v>576</v>
      </c>
      <c r="C152" s="677" t="s">
        <v>118</v>
      </c>
      <c r="D152" s="677">
        <v>8</v>
      </c>
      <c r="E152" s="677"/>
      <c r="F152" s="1058">
        <f t="shared" si="9"/>
        <v>0</v>
      </c>
      <c r="G152" s="559"/>
    </row>
    <row r="153" spans="1:7" s="560" customFormat="1" ht="15.6">
      <c r="A153" s="672">
        <v>5.43</v>
      </c>
      <c r="B153" s="677" t="s">
        <v>577</v>
      </c>
      <c r="C153" s="677" t="s">
        <v>118</v>
      </c>
      <c r="D153" s="677">
        <v>1</v>
      </c>
      <c r="E153" s="677"/>
      <c r="F153" s="1058">
        <f t="shared" si="9"/>
        <v>0</v>
      </c>
      <c r="G153" s="559"/>
    </row>
    <row r="154" spans="1:7" s="560" customFormat="1" ht="15.6">
      <c r="A154" s="672">
        <v>5.44</v>
      </c>
      <c r="B154" s="677" t="s">
        <v>578</v>
      </c>
      <c r="C154" s="677" t="s">
        <v>118</v>
      </c>
      <c r="D154" s="677">
        <v>1</v>
      </c>
      <c r="E154" s="677"/>
      <c r="F154" s="1058">
        <f t="shared" si="9"/>
        <v>0</v>
      </c>
      <c r="G154" s="559"/>
    </row>
    <row r="155" spans="1:7" s="560" customFormat="1" ht="15.6">
      <c r="A155" s="672"/>
      <c r="B155" s="678" t="s">
        <v>593</v>
      </c>
      <c r="C155" s="679"/>
      <c r="D155" s="680"/>
      <c r="E155" s="681"/>
      <c r="F155" s="1059">
        <f>SUM(F136:F154)</f>
        <v>0</v>
      </c>
      <c r="G155" s="559"/>
    </row>
    <row r="156" spans="1:7" s="560" customFormat="1" ht="15.6">
      <c r="A156" s="593" t="s">
        <v>82</v>
      </c>
      <c r="B156" s="594" t="s">
        <v>7</v>
      </c>
      <c r="C156" s="595" t="s">
        <v>141</v>
      </c>
      <c r="D156" s="682" t="s">
        <v>142</v>
      </c>
      <c r="E156" s="683" t="s">
        <v>143</v>
      </c>
      <c r="F156" s="1060" t="s">
        <v>289</v>
      </c>
      <c r="G156" s="559"/>
    </row>
    <row r="157" spans="1:7" s="560" customFormat="1" ht="15.6">
      <c r="A157" s="593"/>
      <c r="B157" s="626" t="s">
        <v>224</v>
      </c>
      <c r="C157" s="595"/>
      <c r="D157" s="682"/>
      <c r="E157" s="683"/>
      <c r="F157" s="1060">
        <f>F155</f>
        <v>0</v>
      </c>
      <c r="G157" s="559"/>
    </row>
    <row r="158" spans="1:7" s="560" customFormat="1" ht="28.8">
      <c r="A158" s="672">
        <v>5.45</v>
      </c>
      <c r="B158" s="677" t="s">
        <v>579</v>
      </c>
      <c r="C158" s="677" t="s">
        <v>118</v>
      </c>
      <c r="D158" s="677">
        <v>9</v>
      </c>
      <c r="E158" s="677"/>
      <c r="F158" s="1058">
        <f t="shared" si="9"/>
        <v>0</v>
      </c>
      <c r="G158" s="559"/>
    </row>
    <row r="159" spans="1:7" s="560" customFormat="1" ht="15.6">
      <c r="A159" s="672">
        <v>5.46</v>
      </c>
      <c r="B159" s="677" t="s">
        <v>580</v>
      </c>
      <c r="C159" s="677" t="s">
        <v>118</v>
      </c>
      <c r="D159" s="677">
        <v>5</v>
      </c>
      <c r="E159" s="677"/>
      <c r="F159" s="1058">
        <f t="shared" si="9"/>
        <v>0</v>
      </c>
      <c r="G159" s="559"/>
    </row>
    <row r="160" spans="1:7" s="560" customFormat="1" ht="43.2">
      <c r="A160" s="672">
        <v>5.47</v>
      </c>
      <c r="B160" s="677" t="s">
        <v>592</v>
      </c>
      <c r="C160" s="677" t="s">
        <v>281</v>
      </c>
      <c r="D160" s="677">
        <v>1</v>
      </c>
      <c r="E160" s="677"/>
      <c r="F160" s="1058">
        <f t="shared" si="9"/>
        <v>0</v>
      </c>
      <c r="G160" s="559"/>
    </row>
    <row r="161" spans="1:7" s="560" customFormat="1" ht="15.6">
      <c r="A161" s="672" t="s">
        <v>5</v>
      </c>
      <c r="B161" s="677"/>
      <c r="C161" s="677"/>
      <c r="D161" s="677"/>
      <c r="E161" s="677"/>
      <c r="F161" s="1061"/>
      <c r="G161" s="559"/>
    </row>
    <row r="162" spans="1:7" s="560" customFormat="1" ht="15.6">
      <c r="A162" s="672" t="s">
        <v>5</v>
      </c>
      <c r="B162" s="677"/>
      <c r="C162" s="677"/>
      <c r="D162" s="677"/>
      <c r="E162" s="677"/>
      <c r="F162" s="1061"/>
      <c r="G162" s="559"/>
    </row>
    <row r="163" spans="1:7" s="560" customFormat="1" ht="15.6">
      <c r="A163" s="684" t="s">
        <v>5</v>
      </c>
      <c r="B163" s="685" t="s">
        <v>581</v>
      </c>
      <c r="C163" s="685" t="s">
        <v>5</v>
      </c>
      <c r="D163" s="685" t="s">
        <v>5</v>
      </c>
      <c r="E163" s="685"/>
      <c r="F163" s="1062" t="s">
        <v>557</v>
      </c>
      <c r="G163" s="559"/>
    </row>
    <row r="164" spans="1:7" s="560" customFormat="1" ht="28.8">
      <c r="A164" s="684" t="s">
        <v>5</v>
      </c>
      <c r="B164" s="685" t="s">
        <v>582</v>
      </c>
      <c r="C164" s="685" t="s">
        <v>5</v>
      </c>
      <c r="D164" s="685" t="s">
        <v>5</v>
      </c>
      <c r="E164" s="685"/>
      <c r="F164" s="1062" t="s">
        <v>557</v>
      </c>
      <c r="G164" s="559"/>
    </row>
    <row r="165" spans="1:7" s="560" customFormat="1" ht="72">
      <c r="A165" s="684">
        <v>5.48</v>
      </c>
      <c r="B165" s="685" t="s">
        <v>583</v>
      </c>
      <c r="C165" s="685" t="s">
        <v>117</v>
      </c>
      <c r="D165" s="685">
        <v>12</v>
      </c>
      <c r="E165" s="685"/>
      <c r="F165" s="1058">
        <f t="shared" ref="F165:F173" si="10">E165*D165</f>
        <v>0</v>
      </c>
      <c r="G165" s="559"/>
    </row>
    <row r="166" spans="1:7" s="560" customFormat="1" ht="43.2">
      <c r="A166" s="684">
        <v>5.49</v>
      </c>
      <c r="B166" s="685" t="s">
        <v>584</v>
      </c>
      <c r="C166" s="685" t="s">
        <v>118</v>
      </c>
      <c r="D166" s="685">
        <f>D165</f>
        <v>12</v>
      </c>
      <c r="E166" s="685"/>
      <c r="F166" s="1058">
        <f t="shared" si="10"/>
        <v>0</v>
      </c>
      <c r="G166" s="559"/>
    </row>
    <row r="167" spans="1:7" s="560" customFormat="1" ht="15.6">
      <c r="A167" s="684">
        <v>5.5</v>
      </c>
      <c r="B167" s="685" t="s">
        <v>585</v>
      </c>
      <c r="C167" s="685" t="s">
        <v>118</v>
      </c>
      <c r="D167" s="685">
        <f>D165</f>
        <v>12</v>
      </c>
      <c r="E167" s="685"/>
      <c r="F167" s="1058">
        <f t="shared" si="10"/>
        <v>0</v>
      </c>
      <c r="G167" s="559"/>
    </row>
    <row r="168" spans="1:7" s="560" customFormat="1" ht="15.6">
      <c r="A168" s="684">
        <v>5.51</v>
      </c>
      <c r="B168" s="685" t="s">
        <v>586</v>
      </c>
      <c r="C168" s="685" t="s">
        <v>118</v>
      </c>
      <c r="D168" s="685">
        <f>D165</f>
        <v>12</v>
      </c>
      <c r="E168" s="685"/>
      <c r="F168" s="1058">
        <f t="shared" si="10"/>
        <v>0</v>
      </c>
      <c r="G168" s="559"/>
    </row>
    <row r="169" spans="1:7" s="560" customFormat="1" ht="28.8">
      <c r="A169" s="684">
        <v>5.52</v>
      </c>
      <c r="B169" s="685" t="s">
        <v>587</v>
      </c>
      <c r="C169" s="685" t="s">
        <v>118</v>
      </c>
      <c r="D169" s="685">
        <f>D165</f>
        <v>12</v>
      </c>
      <c r="E169" s="685"/>
      <c r="F169" s="1058">
        <f t="shared" si="10"/>
        <v>0</v>
      </c>
      <c r="G169" s="559"/>
    </row>
    <row r="170" spans="1:7" s="560" customFormat="1" ht="86.4">
      <c r="A170" s="684">
        <v>5.53</v>
      </c>
      <c r="B170" s="685" t="s">
        <v>588</v>
      </c>
      <c r="C170" s="685" t="s">
        <v>118</v>
      </c>
      <c r="D170" s="685">
        <f>D165</f>
        <v>12</v>
      </c>
      <c r="E170" s="685"/>
      <c r="F170" s="1058">
        <f t="shared" si="10"/>
        <v>0</v>
      </c>
      <c r="G170" s="559"/>
    </row>
    <row r="171" spans="1:7" s="560" customFormat="1" ht="15.6">
      <c r="A171" s="684">
        <v>5.54</v>
      </c>
      <c r="B171" s="685" t="s">
        <v>589</v>
      </c>
      <c r="C171" s="685" t="s">
        <v>118</v>
      </c>
      <c r="D171" s="685">
        <f>D165</f>
        <v>12</v>
      </c>
      <c r="E171" s="685"/>
      <c r="F171" s="1058">
        <f t="shared" si="10"/>
        <v>0</v>
      </c>
      <c r="G171" s="559"/>
    </row>
    <row r="172" spans="1:7" s="560" customFormat="1" ht="86.4">
      <c r="A172" s="684">
        <v>5.55</v>
      </c>
      <c r="B172" s="685" t="s">
        <v>590</v>
      </c>
      <c r="C172" s="685" t="s">
        <v>118</v>
      </c>
      <c r="D172" s="685">
        <v>3</v>
      </c>
      <c r="E172" s="685"/>
      <c r="F172" s="1058">
        <f t="shared" si="10"/>
        <v>0</v>
      </c>
      <c r="G172" s="559"/>
    </row>
    <row r="173" spans="1:7" s="560" customFormat="1" ht="43.2">
      <c r="A173" s="684">
        <v>5.56</v>
      </c>
      <c r="B173" s="685" t="s">
        <v>591</v>
      </c>
      <c r="C173" s="685" t="s">
        <v>117</v>
      </c>
      <c r="D173" s="685">
        <v>3</v>
      </c>
      <c r="E173" s="685"/>
      <c r="F173" s="1058">
        <f t="shared" si="10"/>
        <v>0</v>
      </c>
      <c r="G173" s="559"/>
    </row>
    <row r="174" spans="1:7" s="560" customFormat="1" ht="15.6">
      <c r="A174" s="684"/>
      <c r="B174" s="678" t="s">
        <v>492</v>
      </c>
      <c r="C174" s="685"/>
      <c r="D174" s="685"/>
      <c r="E174" s="685"/>
      <c r="F174" s="1059">
        <f>SUM(F157:F173)</f>
        <v>0</v>
      </c>
      <c r="G174" s="559"/>
    </row>
    <row r="175" spans="1:7" s="563" customFormat="1">
      <c r="A175" s="686"/>
      <c r="B175" s="677"/>
      <c r="C175" s="687"/>
      <c r="D175" s="687"/>
      <c r="E175" s="687"/>
      <c r="F175" s="1063"/>
      <c r="G175" s="562"/>
    </row>
    <row r="176" spans="1:7" s="563" customFormat="1">
      <c r="A176" s="686"/>
      <c r="B176" s="688" t="s">
        <v>461</v>
      </c>
      <c r="C176" s="687"/>
      <c r="D176" s="687"/>
      <c r="E176" s="687"/>
      <c r="F176" s="1063"/>
      <c r="G176" s="562"/>
    </row>
    <row r="177" spans="1:7" s="563" customFormat="1">
      <c r="A177" s="686"/>
      <c r="B177" s="677"/>
      <c r="C177" s="687"/>
      <c r="D177" s="687"/>
      <c r="E177" s="687"/>
      <c r="F177" s="1063"/>
      <c r="G177" s="562"/>
    </row>
    <row r="178" spans="1:7" s="563" customFormat="1">
      <c r="A178" s="686">
        <v>1</v>
      </c>
      <c r="B178" s="677" t="str">
        <f>B7</f>
        <v>ELEMENT NO. 1 : SUB-STRUCTURES (all provisional)</v>
      </c>
      <c r="C178" s="687"/>
      <c r="D178" s="687"/>
      <c r="E178" s="687"/>
      <c r="F178" s="1063">
        <f>F31</f>
        <v>0</v>
      </c>
      <c r="G178" s="562"/>
    </row>
    <row r="179" spans="1:7" s="563" customFormat="1">
      <c r="A179" s="686"/>
      <c r="B179" s="677"/>
      <c r="C179" s="687"/>
      <c r="D179" s="687"/>
      <c r="E179" s="687"/>
      <c r="F179" s="1063"/>
      <c r="G179" s="562"/>
    </row>
    <row r="180" spans="1:7" s="563" customFormat="1">
      <c r="A180" s="686">
        <v>2</v>
      </c>
      <c r="B180" s="677" t="str">
        <f>B34</f>
        <v>ELEMENT NO. 2: SUPER STRUCTURE</v>
      </c>
      <c r="C180" s="687"/>
      <c r="D180" s="687"/>
      <c r="E180" s="687"/>
      <c r="F180" s="1063">
        <f>F102</f>
        <v>0</v>
      </c>
      <c r="G180" s="562"/>
    </row>
    <row r="181" spans="1:7" s="563" customFormat="1">
      <c r="A181" s="686"/>
      <c r="B181" s="677"/>
      <c r="C181" s="687"/>
      <c r="D181" s="687"/>
      <c r="E181" s="687"/>
      <c r="F181" s="1063"/>
      <c r="G181" s="562"/>
    </row>
    <row r="182" spans="1:7" s="563" customFormat="1">
      <c r="A182" s="686">
        <v>3</v>
      </c>
      <c r="B182" s="674" t="str">
        <f>B104</f>
        <v>ELEMENT NO. 3: ELECTRICAL INSTALLATIONS AND SERVICES</v>
      </c>
      <c r="C182" s="687"/>
      <c r="D182" s="687"/>
      <c r="E182" s="687"/>
      <c r="F182" s="1063">
        <f>F116</f>
        <v>0</v>
      </c>
      <c r="G182" s="562"/>
    </row>
    <row r="183" spans="1:7" s="563" customFormat="1">
      <c r="A183" s="686"/>
      <c r="B183" s="677"/>
      <c r="C183" s="687"/>
      <c r="D183" s="687"/>
      <c r="E183" s="687"/>
      <c r="F183" s="1063"/>
      <c r="G183" s="562"/>
    </row>
    <row r="184" spans="1:7" s="563" customFormat="1" ht="28.8">
      <c r="A184" s="686">
        <v>4</v>
      </c>
      <c r="B184" s="674" t="str">
        <f>B119</f>
        <v>ELEMENT NO. 4: MECHANICAL INSTALLATIONS AND SERVICES</v>
      </c>
      <c r="C184" s="687"/>
      <c r="D184" s="687"/>
      <c r="E184" s="687"/>
      <c r="F184" s="1063">
        <f>F174</f>
        <v>0</v>
      </c>
      <c r="G184" s="562"/>
    </row>
    <row r="185" spans="1:7" s="563" customFormat="1">
      <c r="A185" s="686"/>
      <c r="B185" s="677"/>
      <c r="C185" s="687"/>
      <c r="D185" s="687"/>
      <c r="E185" s="687"/>
      <c r="F185" s="1063"/>
      <c r="G185" s="562"/>
    </row>
    <row r="186" spans="1:7" s="563" customFormat="1">
      <c r="A186" s="686"/>
      <c r="B186" s="677"/>
      <c r="C186" s="687"/>
      <c r="D186" s="687"/>
      <c r="E186" s="687"/>
      <c r="F186" s="1063"/>
      <c r="G186" s="562"/>
    </row>
    <row r="187" spans="1:7" s="565" customFormat="1">
      <c r="A187" s="625"/>
      <c r="B187" s="688" t="s">
        <v>594</v>
      </c>
      <c r="C187" s="689"/>
      <c r="D187" s="689"/>
      <c r="E187" s="689"/>
      <c r="F187" s="1064">
        <f>SUM(F178:F186)</f>
        <v>0</v>
      </c>
      <c r="G187" s="564"/>
    </row>
    <row r="188" spans="1:7" s="563" customFormat="1">
      <c r="A188" s="566"/>
      <c r="B188" s="561"/>
      <c r="C188" s="567"/>
      <c r="D188" s="567"/>
      <c r="E188" s="567"/>
      <c r="F188" s="1065"/>
    </row>
  </sheetData>
  <pageMargins left="0.7" right="0.7" top="0.75" bottom="0.75" header="0.3" footer="0.3"/>
  <pageSetup scale="72" orientation="portrait" r:id="rId1"/>
  <rowBreaks count="5" manualBreakCount="5">
    <brk id="31" max="5" man="1"/>
    <brk id="64" max="5" man="1"/>
    <brk id="102" max="5" man="1"/>
    <brk id="117" max="5" man="1"/>
    <brk id="15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view="pageBreakPreview" zoomScaleNormal="100" zoomScaleSheetLayoutView="100" workbookViewId="0">
      <pane xSplit="1" ySplit="1" topLeftCell="B94" activePane="bottomRight" state="frozen"/>
      <selection pane="topRight" activeCell="B1" sqref="B1"/>
      <selection pane="bottomLeft" activeCell="A2" sqref="A2"/>
      <selection pane="bottomRight" activeCell="E87" sqref="E87"/>
    </sheetView>
  </sheetViews>
  <sheetFormatPr defaultRowHeight="13.2"/>
  <cols>
    <col min="1" max="1" width="7.33203125" customWidth="1"/>
    <col min="2" max="2" width="50.6640625" customWidth="1"/>
    <col min="3" max="4" width="5.6640625" bestFit="1" customWidth="1"/>
    <col min="6" max="6" width="11.5546875" style="470" bestFit="1" customWidth="1"/>
  </cols>
  <sheetData>
    <row r="1" spans="1:7" s="45" customFormat="1" ht="14.4">
      <c r="A1" s="46" t="s">
        <v>82</v>
      </c>
      <c r="B1" s="46" t="s">
        <v>7</v>
      </c>
      <c r="C1" s="46" t="s">
        <v>141</v>
      </c>
      <c r="D1" s="47" t="s">
        <v>142</v>
      </c>
      <c r="E1" s="48" t="s">
        <v>143</v>
      </c>
      <c r="F1" s="462" t="s">
        <v>165</v>
      </c>
    </row>
    <row r="2" spans="1:7" ht="14.4">
      <c r="A2" s="40"/>
      <c r="B2" s="41"/>
      <c r="C2" s="40"/>
      <c r="D2" s="42"/>
      <c r="E2" s="43"/>
      <c r="F2" s="463"/>
    </row>
    <row r="3" spans="1:7" s="6" customFormat="1" ht="30">
      <c r="A3" s="30"/>
      <c r="B3" s="53" t="s">
        <v>231</v>
      </c>
      <c r="C3" s="53"/>
      <c r="D3" s="53"/>
      <c r="E3" s="53"/>
      <c r="F3" s="464"/>
    </row>
    <row r="4" spans="1:7" s="6" customFormat="1" ht="15">
      <c r="A4" s="30"/>
      <c r="B4" s="44"/>
      <c r="C4" s="31"/>
      <c r="D4" s="39"/>
      <c r="E4" s="31"/>
      <c r="F4" s="465"/>
    </row>
    <row r="5" spans="1:7" s="1" customFormat="1" ht="15">
      <c r="A5" s="30"/>
      <c r="B5" s="44" t="s">
        <v>657</v>
      </c>
      <c r="C5" s="31"/>
      <c r="D5" s="39"/>
      <c r="E5" s="31"/>
      <c r="F5" s="465"/>
    </row>
    <row r="6" spans="1:7" ht="14.4">
      <c r="A6" s="210">
        <v>6.1</v>
      </c>
      <c r="B6" s="207" t="s">
        <v>232</v>
      </c>
      <c r="C6" s="208"/>
      <c r="D6" s="209"/>
      <c r="E6" s="210"/>
      <c r="F6" s="466"/>
    </row>
    <row r="7" spans="1:7" ht="16.2">
      <c r="A7" s="211" t="s">
        <v>683</v>
      </c>
      <c r="B7" s="212" t="s">
        <v>145</v>
      </c>
      <c r="C7" s="213" t="s">
        <v>331</v>
      </c>
      <c r="D7" s="213">
        <v>12</v>
      </c>
      <c r="E7" s="214"/>
      <c r="F7" s="467">
        <f>D7*E7</f>
        <v>0</v>
      </c>
    </row>
    <row r="8" spans="1:7" ht="14.4">
      <c r="A8" s="211" t="s">
        <v>5</v>
      </c>
      <c r="B8" s="212" t="s">
        <v>146</v>
      </c>
      <c r="C8" s="214"/>
      <c r="D8" s="213"/>
      <c r="E8" s="214"/>
      <c r="F8" s="467"/>
    </row>
    <row r="9" spans="1:7" ht="43.2">
      <c r="A9" s="211" t="s">
        <v>684</v>
      </c>
      <c r="B9" s="212" t="s">
        <v>279</v>
      </c>
      <c r="C9" s="214" t="s">
        <v>140</v>
      </c>
      <c r="D9" s="213">
        <v>1</v>
      </c>
      <c r="E9" s="214"/>
      <c r="F9" s="467">
        <f>E9*D9</f>
        <v>0</v>
      </c>
    </row>
    <row r="10" spans="1:7" ht="14.4">
      <c r="A10" s="211"/>
      <c r="B10" s="212"/>
      <c r="C10" s="214"/>
      <c r="D10" s="213"/>
      <c r="E10" s="214"/>
      <c r="F10" s="467"/>
    </row>
    <row r="11" spans="1:7" ht="14.4">
      <c r="A11" s="211">
        <v>6.2</v>
      </c>
      <c r="B11" s="215" t="s">
        <v>147</v>
      </c>
      <c r="C11" s="214"/>
      <c r="D11" s="213"/>
      <c r="E11" s="214"/>
      <c r="F11" s="467"/>
    </row>
    <row r="12" spans="1:7" ht="14.4">
      <c r="A12" s="211" t="s">
        <v>689</v>
      </c>
      <c r="B12" s="212" t="s">
        <v>95</v>
      </c>
      <c r="C12" s="214"/>
      <c r="D12" s="213"/>
      <c r="E12" s="214"/>
      <c r="F12" s="467"/>
    </row>
    <row r="13" spans="1:7" ht="14.4">
      <c r="A13" s="211"/>
      <c r="B13" s="212" t="s">
        <v>96</v>
      </c>
      <c r="C13" s="214"/>
      <c r="D13" s="213"/>
      <c r="E13" s="214"/>
      <c r="F13" s="467"/>
    </row>
    <row r="14" spans="1:7" ht="16.2">
      <c r="A14" s="211" t="s">
        <v>691</v>
      </c>
      <c r="B14" s="212" t="s">
        <v>133</v>
      </c>
      <c r="C14" s="213" t="s">
        <v>332</v>
      </c>
      <c r="D14" s="213">
        <v>3</v>
      </c>
      <c r="E14" s="214"/>
      <c r="F14" s="467">
        <f>E14*D14</f>
        <v>0</v>
      </c>
      <c r="G14">
        <f>D7*0.2</f>
        <v>2.4000000000000004</v>
      </c>
    </row>
    <row r="15" spans="1:7" ht="14.4">
      <c r="A15" s="211" t="s">
        <v>693</v>
      </c>
      <c r="B15" s="212" t="s">
        <v>233</v>
      </c>
      <c r="C15" s="214"/>
      <c r="D15" s="213"/>
      <c r="E15" s="214"/>
      <c r="F15" s="467"/>
    </row>
    <row r="16" spans="1:7" ht="16.2">
      <c r="A16" s="211"/>
      <c r="B16" s="212" t="s">
        <v>148</v>
      </c>
      <c r="C16" s="213" t="s">
        <v>332</v>
      </c>
      <c r="D16" s="213">
        <v>0.60000000000000009</v>
      </c>
      <c r="E16" s="214"/>
      <c r="F16" s="467">
        <f t="shared" ref="F16:F24" si="0">E16*D16</f>
        <v>0</v>
      </c>
    </row>
    <row r="17" spans="1:7" ht="16.2">
      <c r="A17" s="211" t="s">
        <v>776</v>
      </c>
      <c r="B17" s="212" t="s">
        <v>234</v>
      </c>
      <c r="C17" s="213" t="s">
        <v>332</v>
      </c>
      <c r="D17" s="213">
        <v>3</v>
      </c>
      <c r="E17" s="214"/>
      <c r="F17" s="467">
        <f t="shared" si="0"/>
        <v>0</v>
      </c>
    </row>
    <row r="18" spans="1:7" ht="16.2">
      <c r="A18" s="211" t="s">
        <v>777</v>
      </c>
      <c r="B18" s="212" t="s">
        <v>235</v>
      </c>
      <c r="C18" s="213" t="s">
        <v>332</v>
      </c>
      <c r="D18" s="213">
        <v>1</v>
      </c>
      <c r="E18" s="214"/>
      <c r="F18" s="467">
        <f t="shared" si="0"/>
        <v>0</v>
      </c>
      <c r="G18">
        <f>4*0.3*0.3*1.5</f>
        <v>0.54</v>
      </c>
    </row>
    <row r="19" spans="1:7" ht="14.4">
      <c r="A19" s="216"/>
      <c r="B19" s="215" t="s">
        <v>98</v>
      </c>
      <c r="C19" s="214"/>
      <c r="D19" s="213"/>
      <c r="E19" s="214"/>
      <c r="F19" s="467"/>
    </row>
    <row r="20" spans="1:7" ht="14.4">
      <c r="A20" s="216" t="s">
        <v>778</v>
      </c>
      <c r="B20" s="212" t="s">
        <v>99</v>
      </c>
      <c r="C20" s="214"/>
      <c r="D20" s="213"/>
      <c r="E20" s="214"/>
      <c r="F20" s="467"/>
    </row>
    <row r="21" spans="1:7" ht="16.2">
      <c r="A21" s="216"/>
      <c r="B21" s="212" t="s">
        <v>119</v>
      </c>
      <c r="C21" s="213" t="s">
        <v>332</v>
      </c>
      <c r="D21" s="213">
        <v>9</v>
      </c>
      <c r="E21" s="214"/>
      <c r="F21" s="467">
        <f t="shared" si="0"/>
        <v>0</v>
      </c>
    </row>
    <row r="22" spans="1:7" ht="14.4">
      <c r="A22" s="216" t="s">
        <v>779</v>
      </c>
      <c r="B22" s="212" t="s">
        <v>149</v>
      </c>
      <c r="C22" s="214"/>
      <c r="D22" s="213"/>
      <c r="E22" s="214"/>
      <c r="F22" s="467"/>
    </row>
    <row r="23" spans="1:7" ht="14.4">
      <c r="A23" s="216"/>
      <c r="B23" s="212" t="s">
        <v>150</v>
      </c>
      <c r="C23" s="214"/>
      <c r="D23" s="213"/>
      <c r="E23" s="214"/>
      <c r="F23" s="467"/>
    </row>
    <row r="24" spans="1:7" ht="16.2">
      <c r="A24" s="216"/>
      <c r="B24" s="212" t="s">
        <v>151</v>
      </c>
      <c r="C24" s="213" t="s">
        <v>332</v>
      </c>
      <c r="D24" s="213">
        <v>21</v>
      </c>
      <c r="E24" s="214"/>
      <c r="F24" s="467">
        <f t="shared" si="0"/>
        <v>0</v>
      </c>
    </row>
    <row r="25" spans="1:7" ht="14.4">
      <c r="A25" s="216"/>
      <c r="B25" s="212"/>
      <c r="C25" s="214"/>
      <c r="D25" s="213"/>
      <c r="E25" s="214"/>
      <c r="F25" s="467"/>
    </row>
    <row r="26" spans="1:7" ht="14.4">
      <c r="A26" s="217">
        <v>6.3</v>
      </c>
      <c r="B26" s="215" t="s">
        <v>152</v>
      </c>
      <c r="C26" s="218"/>
      <c r="D26" s="219"/>
      <c r="E26" s="218"/>
      <c r="F26" s="468"/>
    </row>
    <row r="27" spans="1:7" ht="14.4">
      <c r="A27" s="216"/>
      <c r="B27" s="215" t="s">
        <v>100</v>
      </c>
      <c r="C27" s="214"/>
      <c r="D27" s="213"/>
      <c r="E27" s="214"/>
      <c r="F27" s="467"/>
    </row>
    <row r="28" spans="1:7" ht="16.2">
      <c r="A28" s="216" t="s">
        <v>780</v>
      </c>
      <c r="B28" s="212" t="s">
        <v>236</v>
      </c>
      <c r="C28" s="213" t="s">
        <v>332</v>
      </c>
      <c r="D28" s="213">
        <v>2</v>
      </c>
      <c r="E28" s="214"/>
      <c r="F28" s="467">
        <f t="shared" ref="F28" si="1">D28*E28</f>
        <v>0</v>
      </c>
    </row>
    <row r="29" spans="1:7" ht="14.4">
      <c r="A29" s="216"/>
      <c r="B29" s="215" t="s">
        <v>767</v>
      </c>
      <c r="C29" s="214"/>
      <c r="D29" s="213"/>
      <c r="E29" s="214"/>
      <c r="F29" s="467"/>
    </row>
    <row r="30" spans="1:7" ht="14.4">
      <c r="A30" s="216"/>
      <c r="B30" s="215" t="s">
        <v>154</v>
      </c>
      <c r="C30" s="214"/>
      <c r="D30" s="213"/>
      <c r="E30" s="214"/>
      <c r="F30" s="467"/>
    </row>
    <row r="31" spans="1:7" ht="16.2">
      <c r="A31" s="216" t="s">
        <v>781</v>
      </c>
      <c r="B31" s="212" t="s">
        <v>134</v>
      </c>
      <c r="C31" s="213" t="s">
        <v>332</v>
      </c>
      <c r="D31" s="213">
        <v>5.67</v>
      </c>
      <c r="E31" s="214"/>
      <c r="F31" s="467">
        <f>D31*E31</f>
        <v>0</v>
      </c>
    </row>
    <row r="32" spans="1:7" ht="16.2">
      <c r="A32" s="216" t="s">
        <v>782</v>
      </c>
      <c r="B32" s="212" t="s">
        <v>155</v>
      </c>
      <c r="C32" s="213" t="s">
        <v>332</v>
      </c>
      <c r="D32" s="213">
        <v>5.67</v>
      </c>
      <c r="E32" s="214"/>
      <c r="F32" s="467">
        <f t="shared" ref="F32:F38" si="2">D32*E32</f>
        <v>0</v>
      </c>
    </row>
    <row r="33" spans="1:6" ht="16.2">
      <c r="A33" s="216" t="s">
        <v>783</v>
      </c>
      <c r="B33" s="212" t="s">
        <v>470</v>
      </c>
      <c r="C33" s="213" t="s">
        <v>332</v>
      </c>
      <c r="D33" s="213">
        <v>5.67</v>
      </c>
      <c r="E33" s="214"/>
      <c r="F33" s="467">
        <f t="shared" si="2"/>
        <v>0</v>
      </c>
    </row>
    <row r="34" spans="1:6" ht="14.4">
      <c r="A34" s="216"/>
      <c r="B34" s="215" t="s">
        <v>156</v>
      </c>
      <c r="C34" s="214"/>
      <c r="D34" s="213"/>
      <c r="E34" s="214"/>
      <c r="F34" s="467"/>
    </row>
    <row r="35" spans="1:6" ht="14.4">
      <c r="A35" s="216" t="s">
        <v>784</v>
      </c>
      <c r="B35" s="212" t="s">
        <v>764</v>
      </c>
      <c r="C35" s="214"/>
      <c r="D35" s="213"/>
      <c r="E35" s="214"/>
      <c r="F35" s="467"/>
    </row>
    <row r="36" spans="1:6" ht="16.2">
      <c r="A36" s="216"/>
      <c r="B36" s="212" t="s">
        <v>763</v>
      </c>
      <c r="C36" s="213" t="s">
        <v>332</v>
      </c>
      <c r="D36" s="213">
        <f>0.15*4*4</f>
        <v>2.4</v>
      </c>
      <c r="E36" s="214"/>
      <c r="F36" s="467">
        <f t="shared" si="2"/>
        <v>0</v>
      </c>
    </row>
    <row r="37" spans="1:6" ht="16.2">
      <c r="A37" s="216" t="s">
        <v>785</v>
      </c>
      <c r="B37" s="212" t="s">
        <v>765</v>
      </c>
      <c r="C37" s="213" t="s">
        <v>332</v>
      </c>
      <c r="D37" s="213">
        <f>0.2*4*4</f>
        <v>3.2</v>
      </c>
      <c r="E37" s="214"/>
      <c r="F37" s="467">
        <f t="shared" si="2"/>
        <v>0</v>
      </c>
    </row>
    <row r="38" spans="1:6" ht="16.2">
      <c r="A38" s="216" t="s">
        <v>786</v>
      </c>
      <c r="B38" s="212" t="s">
        <v>766</v>
      </c>
      <c r="C38" s="213" t="s">
        <v>332</v>
      </c>
      <c r="D38" s="213">
        <f>0.2*4*4</f>
        <v>3.2</v>
      </c>
      <c r="E38" s="214"/>
      <c r="F38" s="467">
        <f t="shared" si="2"/>
        <v>0</v>
      </c>
    </row>
    <row r="39" spans="1:6" ht="14.4">
      <c r="A39" s="216"/>
      <c r="B39" s="215" t="s">
        <v>238</v>
      </c>
      <c r="C39" s="213"/>
      <c r="D39" s="213"/>
      <c r="E39" s="214"/>
      <c r="F39" s="467"/>
    </row>
    <row r="40" spans="1:6" ht="16.2">
      <c r="A40" s="216" t="s">
        <v>787</v>
      </c>
      <c r="B40" s="212" t="s">
        <v>239</v>
      </c>
      <c r="C40" s="213" t="s">
        <v>332</v>
      </c>
      <c r="D40" s="213">
        <v>3.5999999999999996</v>
      </c>
      <c r="E40" s="214"/>
      <c r="F40" s="467">
        <f>D40*E40</f>
        <v>0</v>
      </c>
    </row>
    <row r="41" spans="1:6" ht="16.2">
      <c r="A41" s="216" t="s">
        <v>788</v>
      </c>
      <c r="B41" s="212" t="s">
        <v>240</v>
      </c>
      <c r="C41" s="213" t="s">
        <v>332</v>
      </c>
      <c r="D41" s="213">
        <v>2.16</v>
      </c>
      <c r="E41" s="214"/>
      <c r="F41" s="467">
        <f>D41*E41</f>
        <v>0</v>
      </c>
    </row>
    <row r="42" spans="1:6" ht="16.2">
      <c r="A42" s="216" t="s">
        <v>789</v>
      </c>
      <c r="B42" s="212" t="s">
        <v>241</v>
      </c>
      <c r="C42" s="213" t="s">
        <v>332</v>
      </c>
      <c r="D42" s="213">
        <v>12.96</v>
      </c>
      <c r="E42" s="214"/>
      <c r="F42" s="467">
        <f>D42*E42</f>
        <v>0</v>
      </c>
    </row>
    <row r="43" spans="1:6" ht="14.4">
      <c r="A43" s="216"/>
      <c r="B43" s="212"/>
      <c r="C43" s="214"/>
      <c r="D43" s="213"/>
      <c r="E43" s="214"/>
      <c r="F43" s="467"/>
    </row>
    <row r="44" spans="1:6" s="45" customFormat="1" ht="14.4">
      <c r="A44" s="217"/>
      <c r="B44" s="215" t="s">
        <v>822</v>
      </c>
      <c r="C44" s="218"/>
      <c r="D44" s="219"/>
      <c r="E44" s="218"/>
      <c r="F44" s="468">
        <f>SUM(F7:F43)</f>
        <v>0</v>
      </c>
    </row>
    <row r="45" spans="1:6" s="45" customFormat="1" ht="14.4">
      <c r="A45" s="965"/>
      <c r="B45" s="966"/>
      <c r="C45" s="967"/>
      <c r="D45" s="968"/>
      <c r="E45" s="967"/>
      <c r="F45" s="969"/>
    </row>
    <row r="46" spans="1:6" s="45" customFormat="1" ht="14.4">
      <c r="A46" s="46" t="s">
        <v>82</v>
      </c>
      <c r="B46" s="46" t="s">
        <v>7</v>
      </c>
      <c r="C46" s="46" t="s">
        <v>141</v>
      </c>
      <c r="D46" s="47" t="s">
        <v>142</v>
      </c>
      <c r="E46" s="48" t="s">
        <v>143</v>
      </c>
      <c r="F46" s="462" t="s">
        <v>165</v>
      </c>
    </row>
    <row r="47" spans="1:6" s="471" customFormat="1" ht="14.4">
      <c r="A47" s="220"/>
      <c r="B47" s="220" t="s">
        <v>760</v>
      </c>
      <c r="C47" s="220"/>
      <c r="D47" s="221"/>
      <c r="E47" s="112"/>
      <c r="F47" s="469">
        <f>F44</f>
        <v>0</v>
      </c>
    </row>
    <row r="48" spans="1:6" ht="12.6" customHeight="1">
      <c r="A48" s="216">
        <v>6.4</v>
      </c>
      <c r="B48" s="215" t="s">
        <v>770</v>
      </c>
      <c r="C48" s="214"/>
      <c r="D48" s="213"/>
      <c r="E48" s="214"/>
      <c r="F48" s="467"/>
    </row>
    <row r="49" spans="1:7" ht="14.4">
      <c r="A49" s="216"/>
      <c r="B49" s="215" t="s">
        <v>101</v>
      </c>
      <c r="C49" s="214"/>
      <c r="D49" s="213"/>
      <c r="E49" s="214"/>
      <c r="F49" s="467"/>
    </row>
    <row r="50" spans="1:7" ht="28.8">
      <c r="A50" s="216" t="s">
        <v>790</v>
      </c>
      <c r="B50" s="212" t="s">
        <v>242</v>
      </c>
      <c r="C50" s="214"/>
      <c r="D50" s="213"/>
      <c r="E50" s="214"/>
      <c r="F50" s="467"/>
    </row>
    <row r="51" spans="1:7" ht="14.4">
      <c r="A51" s="216"/>
      <c r="B51" s="215" t="s">
        <v>154</v>
      </c>
      <c r="C51" s="214"/>
      <c r="D51" s="213"/>
      <c r="E51" s="214"/>
      <c r="F51" s="467"/>
    </row>
    <row r="52" spans="1:7" ht="14.4">
      <c r="A52" s="216" t="s">
        <v>791</v>
      </c>
      <c r="B52" s="212" t="s">
        <v>243</v>
      </c>
      <c r="C52" s="214"/>
      <c r="D52" s="213"/>
      <c r="E52" s="214"/>
      <c r="F52" s="467"/>
    </row>
    <row r="53" spans="1:7" ht="28.8">
      <c r="A53" s="216"/>
      <c r="B53" s="212" t="s">
        <v>244</v>
      </c>
      <c r="C53" s="214" t="s">
        <v>102</v>
      </c>
      <c r="D53" s="213">
        <v>190</v>
      </c>
      <c r="E53" s="214"/>
      <c r="F53" s="467">
        <f>D53*E53</f>
        <v>0</v>
      </c>
      <c r="G53">
        <f>4*4*4*3*0.888*1.1</f>
        <v>187.54560000000004</v>
      </c>
    </row>
    <row r="54" spans="1:7" ht="14.4">
      <c r="A54" s="216" t="s">
        <v>792</v>
      </c>
      <c r="B54" s="212" t="s">
        <v>245</v>
      </c>
      <c r="C54" s="214"/>
      <c r="D54" s="213"/>
      <c r="E54" s="214"/>
      <c r="F54" s="467"/>
    </row>
    <row r="55" spans="1:7" ht="28.8">
      <c r="A55" s="216"/>
      <c r="B55" s="212" t="s">
        <v>246</v>
      </c>
      <c r="C55" s="214" t="s">
        <v>102</v>
      </c>
      <c r="D55" s="213">
        <v>425</v>
      </c>
      <c r="E55" s="214"/>
      <c r="F55" s="467">
        <f t="shared" ref="F55:F62" si="3">D55*E55</f>
        <v>0</v>
      </c>
      <c r="G55">
        <f>(4*4/0.2+1)*3*1.5*1.1</f>
        <v>400.95000000000005</v>
      </c>
    </row>
    <row r="56" spans="1:7" ht="14.4">
      <c r="A56" s="216"/>
      <c r="B56" s="215" t="s">
        <v>768</v>
      </c>
      <c r="C56" s="214"/>
      <c r="D56" s="213"/>
      <c r="E56" s="214"/>
      <c r="F56" s="467"/>
    </row>
    <row r="57" spans="1:7" ht="14.4">
      <c r="A57" s="216"/>
      <c r="B57" s="215"/>
      <c r="C57" s="214"/>
      <c r="D57" s="213"/>
      <c r="E57" s="214"/>
      <c r="F57" s="467"/>
    </row>
    <row r="58" spans="1:7" ht="14.4">
      <c r="A58" s="216" t="s">
        <v>793</v>
      </c>
      <c r="B58" s="212" t="s">
        <v>769</v>
      </c>
      <c r="C58" s="214" t="s">
        <v>102</v>
      </c>
      <c r="D58" s="213">
        <v>150</v>
      </c>
      <c r="E58" s="214"/>
      <c r="F58" s="467">
        <f t="shared" ref="F58:F60" si="4">D58*E58</f>
        <v>0</v>
      </c>
      <c r="G58">
        <f>(1.8/0.2+1)*2*1.9*4*0.888</f>
        <v>134.976</v>
      </c>
    </row>
    <row r="59" spans="1:7" ht="14.4">
      <c r="A59" s="216"/>
      <c r="B59" s="212" t="s">
        <v>769</v>
      </c>
      <c r="C59" s="214"/>
      <c r="D59" s="213"/>
      <c r="E59" s="214"/>
      <c r="F59" s="467"/>
    </row>
    <row r="60" spans="1:7" ht="28.8">
      <c r="A60" s="216" t="s">
        <v>794</v>
      </c>
      <c r="B60" s="212" t="s">
        <v>247</v>
      </c>
      <c r="C60" s="214" t="s">
        <v>102</v>
      </c>
      <c r="D60" s="213">
        <v>250</v>
      </c>
      <c r="E60" s="214"/>
      <c r="F60" s="467">
        <f t="shared" si="4"/>
        <v>0</v>
      </c>
      <c r="G60">
        <f>8*4*4*1.58*1.1</f>
        <v>222.46400000000003</v>
      </c>
    </row>
    <row r="61" spans="1:7" s="45" customFormat="1" ht="14.4">
      <c r="A61" s="216" t="s">
        <v>795</v>
      </c>
      <c r="B61" s="212" t="s">
        <v>245</v>
      </c>
      <c r="C61" s="214"/>
      <c r="D61" s="213"/>
      <c r="E61" s="214"/>
      <c r="F61" s="467"/>
    </row>
    <row r="62" spans="1:7" s="45" customFormat="1" ht="28.8">
      <c r="A62" s="216"/>
      <c r="B62" s="212" t="s">
        <v>246</v>
      </c>
      <c r="C62" s="214" t="s">
        <v>102</v>
      </c>
      <c r="D62" s="213">
        <v>180</v>
      </c>
      <c r="E62" s="214"/>
      <c r="F62" s="467">
        <f t="shared" si="3"/>
        <v>0</v>
      </c>
      <c r="G62" s="45">
        <f>(8/0.2+1)*4</f>
        <v>164</v>
      </c>
    </row>
    <row r="63" spans="1:7" s="45" customFormat="1" ht="14.4">
      <c r="A63" s="216"/>
      <c r="B63" s="212"/>
      <c r="C63" s="214"/>
      <c r="D63" s="213"/>
      <c r="E63" s="214"/>
      <c r="F63" s="467"/>
    </row>
    <row r="64" spans="1:7" ht="14.4">
      <c r="A64" s="223">
        <v>6.5</v>
      </c>
      <c r="B64" s="215" t="s">
        <v>771</v>
      </c>
      <c r="C64" s="214"/>
      <c r="D64" s="213"/>
      <c r="E64" s="214"/>
      <c r="F64" s="467"/>
    </row>
    <row r="65" spans="1:7" ht="43.2">
      <c r="A65" s="216"/>
      <c r="B65" s="212" t="s">
        <v>303</v>
      </c>
      <c r="C65" s="214"/>
      <c r="D65" s="213"/>
      <c r="E65" s="214"/>
      <c r="F65" s="467"/>
    </row>
    <row r="66" spans="1:7" ht="14.4">
      <c r="A66" s="216" t="s">
        <v>796</v>
      </c>
      <c r="B66" s="212" t="s">
        <v>109</v>
      </c>
      <c r="C66" s="214"/>
      <c r="D66" s="213"/>
      <c r="E66" s="214"/>
      <c r="F66" s="467"/>
    </row>
    <row r="67" spans="1:7" ht="16.2">
      <c r="A67" s="216"/>
      <c r="B67" s="212" t="s">
        <v>121</v>
      </c>
      <c r="C67" s="213" t="s">
        <v>331</v>
      </c>
      <c r="D67" s="213">
        <v>12</v>
      </c>
      <c r="E67" s="214"/>
      <c r="F67" s="467">
        <f t="shared" ref="F67" si="5">D67*E67</f>
        <v>0</v>
      </c>
    </row>
    <row r="68" spans="1:7" s="45" customFormat="1" ht="14.4">
      <c r="A68" s="223">
        <v>6.6</v>
      </c>
      <c r="B68" s="215" t="s">
        <v>772</v>
      </c>
      <c r="C68" s="218"/>
      <c r="D68" s="219"/>
      <c r="E68" s="218"/>
      <c r="F68" s="468"/>
    </row>
    <row r="69" spans="1:7" ht="14.4">
      <c r="A69" s="216" t="s">
        <v>797</v>
      </c>
      <c r="B69" s="212" t="s">
        <v>248</v>
      </c>
      <c r="C69" s="214"/>
      <c r="D69" s="213"/>
      <c r="E69" s="214"/>
      <c r="F69" s="467"/>
    </row>
    <row r="70" spans="1:7" ht="28.8">
      <c r="A70" s="216"/>
      <c r="B70" s="212" t="s">
        <v>244</v>
      </c>
      <c r="C70" s="214" t="s">
        <v>102</v>
      </c>
      <c r="D70" s="213">
        <v>72</v>
      </c>
      <c r="E70" s="214"/>
      <c r="F70" s="467">
        <f t="shared" ref="F70" si="6">D70*E70</f>
        <v>0</v>
      </c>
      <c r="G70">
        <f>(3.5/0.2+1)*2*0.888*2</f>
        <v>65.712000000000003</v>
      </c>
    </row>
    <row r="71" spans="1:7" ht="14.4">
      <c r="A71" s="216"/>
      <c r="B71" s="212"/>
      <c r="C71" s="214"/>
      <c r="D71" s="213"/>
      <c r="E71" s="214"/>
      <c r="F71" s="467"/>
    </row>
    <row r="72" spans="1:7" ht="14.4">
      <c r="A72" s="223">
        <v>6.7</v>
      </c>
      <c r="B72" s="215" t="s">
        <v>799</v>
      </c>
      <c r="C72" s="214"/>
      <c r="D72" s="213"/>
      <c r="E72" s="214"/>
      <c r="F72" s="467"/>
    </row>
    <row r="73" spans="1:7" ht="16.2">
      <c r="A73" s="216" t="s">
        <v>798</v>
      </c>
      <c r="B73" s="212" t="s">
        <v>157</v>
      </c>
      <c r="C73" s="213" t="s">
        <v>331</v>
      </c>
      <c r="D73" s="213">
        <v>3.6</v>
      </c>
      <c r="E73" s="214"/>
      <c r="F73" s="467">
        <f t="shared" ref="F73:F96" si="7">D73*E73</f>
        <v>0</v>
      </c>
    </row>
    <row r="74" spans="1:7" ht="16.2">
      <c r="A74" s="216" t="s">
        <v>802</v>
      </c>
      <c r="B74" s="212" t="s">
        <v>158</v>
      </c>
      <c r="C74" s="213" t="s">
        <v>331</v>
      </c>
      <c r="D74" s="213">
        <v>8</v>
      </c>
      <c r="E74" s="214"/>
      <c r="F74" s="467">
        <f t="shared" si="7"/>
        <v>0</v>
      </c>
    </row>
    <row r="75" spans="1:7" s="7" customFormat="1" ht="16.2">
      <c r="A75" s="216" t="s">
        <v>803</v>
      </c>
      <c r="B75" s="212" t="s">
        <v>249</v>
      </c>
      <c r="C75" s="213" t="s">
        <v>331</v>
      </c>
      <c r="D75" s="213">
        <v>8</v>
      </c>
      <c r="E75" s="214"/>
      <c r="F75" s="467">
        <f t="shared" si="7"/>
        <v>0</v>
      </c>
    </row>
    <row r="76" spans="1:7" s="7" customFormat="1" ht="16.2">
      <c r="A76" s="216" t="s">
        <v>804</v>
      </c>
      <c r="B76" s="212" t="s">
        <v>250</v>
      </c>
      <c r="C76" s="213" t="s">
        <v>331</v>
      </c>
      <c r="D76" s="213">
        <v>43.2</v>
      </c>
      <c r="E76" s="214"/>
      <c r="F76" s="467">
        <f t="shared" si="7"/>
        <v>0</v>
      </c>
    </row>
    <row r="77" spans="1:7" s="7" customFormat="1" ht="14.4">
      <c r="A77" s="216"/>
      <c r="B77" s="212"/>
      <c r="C77" s="213"/>
      <c r="D77" s="213"/>
      <c r="E77" s="214"/>
      <c r="F77" s="467"/>
    </row>
    <row r="78" spans="1:7" ht="14.4">
      <c r="A78" s="223">
        <v>6.8</v>
      </c>
      <c r="B78" s="215" t="s">
        <v>135</v>
      </c>
      <c r="C78" s="218"/>
      <c r="D78" s="219"/>
      <c r="E78" s="218"/>
      <c r="F78" s="467"/>
    </row>
    <row r="79" spans="1:7" ht="28.8">
      <c r="A79" s="216" t="s">
        <v>800</v>
      </c>
      <c r="B79" s="212" t="s">
        <v>773</v>
      </c>
      <c r="C79" s="214" t="s">
        <v>774</v>
      </c>
      <c r="D79" s="213">
        <v>28</v>
      </c>
      <c r="E79" s="214"/>
      <c r="F79" s="467">
        <f t="shared" si="7"/>
        <v>0</v>
      </c>
      <c r="G79">
        <f>3.5*4*1*2</f>
        <v>28</v>
      </c>
    </row>
    <row r="80" spans="1:7" ht="14.4">
      <c r="A80" s="216"/>
      <c r="B80" s="212" t="s">
        <v>237</v>
      </c>
      <c r="C80" s="214"/>
      <c r="D80" s="213"/>
      <c r="E80" s="214"/>
      <c r="F80" s="467"/>
    </row>
    <row r="81" spans="1:7" ht="16.2">
      <c r="A81" s="216" t="s">
        <v>801</v>
      </c>
      <c r="B81" s="212" t="s">
        <v>251</v>
      </c>
      <c r="C81" s="213" t="s">
        <v>332</v>
      </c>
      <c r="D81" s="213">
        <v>8.64</v>
      </c>
      <c r="E81" s="214"/>
      <c r="F81" s="467">
        <f t="shared" si="7"/>
        <v>0</v>
      </c>
    </row>
    <row r="82" spans="1:7" ht="14.4">
      <c r="A82" s="216"/>
      <c r="B82" s="212"/>
      <c r="C82" s="213"/>
      <c r="D82" s="213"/>
      <c r="E82" s="214"/>
      <c r="F82" s="467"/>
    </row>
    <row r="83" spans="1:7" ht="14.4">
      <c r="A83" s="216"/>
      <c r="B83" s="212"/>
      <c r="C83" s="213"/>
      <c r="D83" s="213"/>
      <c r="E83" s="214"/>
      <c r="F83" s="467"/>
    </row>
    <row r="84" spans="1:7" ht="14.4">
      <c r="A84" s="970"/>
      <c r="B84" s="971"/>
      <c r="C84" s="972"/>
      <c r="D84" s="972"/>
      <c r="E84" s="973"/>
      <c r="F84" s="974"/>
    </row>
    <row r="85" spans="1:7" ht="14.4">
      <c r="A85" s="970"/>
      <c r="B85" s="971"/>
      <c r="C85" s="972"/>
      <c r="D85" s="972"/>
      <c r="E85" s="973"/>
      <c r="F85" s="974"/>
    </row>
    <row r="86" spans="1:7" s="45" customFormat="1" ht="14.4">
      <c r="A86" s="217"/>
      <c r="B86" s="215" t="s">
        <v>227</v>
      </c>
      <c r="C86" s="219"/>
      <c r="D86" s="219"/>
      <c r="E86" s="218"/>
      <c r="F86" s="468">
        <f>SUM(F47:F83)</f>
        <v>0</v>
      </c>
    </row>
    <row r="87" spans="1:7" s="45" customFormat="1" ht="14.4">
      <c r="A87" s="46" t="s">
        <v>82</v>
      </c>
      <c r="B87" s="46" t="s">
        <v>7</v>
      </c>
      <c r="C87" s="46" t="s">
        <v>141</v>
      </c>
      <c r="D87" s="47" t="s">
        <v>142</v>
      </c>
      <c r="E87" s="48" t="s">
        <v>143</v>
      </c>
      <c r="F87" s="462" t="s">
        <v>165</v>
      </c>
    </row>
    <row r="88" spans="1:7" s="471" customFormat="1" ht="14.4">
      <c r="A88" s="220"/>
      <c r="B88" s="220" t="s">
        <v>760</v>
      </c>
      <c r="C88" s="220"/>
      <c r="D88" s="221"/>
      <c r="E88" s="112"/>
      <c r="F88" s="469">
        <f>F86</f>
        <v>0</v>
      </c>
    </row>
    <row r="89" spans="1:7" ht="14.4">
      <c r="A89" s="223">
        <v>6.9</v>
      </c>
      <c r="B89" s="215" t="s">
        <v>161</v>
      </c>
      <c r="C89" s="218"/>
      <c r="D89" s="219"/>
      <c r="E89" s="218"/>
      <c r="F89" s="467"/>
    </row>
    <row r="90" spans="1:7" ht="14.4">
      <c r="A90" s="216"/>
      <c r="B90" s="215" t="s">
        <v>115</v>
      </c>
      <c r="C90" s="214"/>
      <c r="D90" s="213"/>
      <c r="E90" s="214"/>
      <c r="F90" s="467"/>
    </row>
    <row r="91" spans="1:7" ht="14.4">
      <c r="A91" s="222"/>
      <c r="B91" s="215" t="s">
        <v>252</v>
      </c>
      <c r="C91" s="214"/>
      <c r="D91" s="213"/>
      <c r="E91" s="214"/>
      <c r="F91" s="467"/>
    </row>
    <row r="92" spans="1:7" ht="16.2">
      <c r="A92" s="216" t="s">
        <v>805</v>
      </c>
      <c r="B92" s="212" t="s">
        <v>253</v>
      </c>
      <c r="C92" s="213" t="s">
        <v>331</v>
      </c>
      <c r="D92" s="213">
        <v>40</v>
      </c>
      <c r="E92" s="214"/>
      <c r="F92" s="467">
        <f t="shared" si="7"/>
        <v>0</v>
      </c>
      <c r="G92">
        <f>3.5*3.5*3</f>
        <v>36.75</v>
      </c>
    </row>
    <row r="93" spans="1:7" ht="14.4">
      <c r="A93" s="222"/>
      <c r="B93" s="215" t="s">
        <v>112</v>
      </c>
      <c r="C93" s="213"/>
      <c r="D93" s="213"/>
      <c r="E93" s="214"/>
      <c r="F93" s="467"/>
    </row>
    <row r="94" spans="1:7" ht="14.4">
      <c r="A94" s="216"/>
      <c r="B94" s="215" t="s">
        <v>254</v>
      </c>
      <c r="C94" s="213"/>
      <c r="D94" s="213"/>
      <c r="E94" s="214"/>
      <c r="F94" s="467"/>
    </row>
    <row r="95" spans="1:7" ht="14.4">
      <c r="A95" s="216" t="s">
        <v>806</v>
      </c>
      <c r="B95" s="212" t="s">
        <v>113</v>
      </c>
      <c r="C95" s="213"/>
      <c r="D95" s="213"/>
      <c r="E95" s="214"/>
      <c r="F95" s="467"/>
    </row>
    <row r="96" spans="1:7" ht="19.95" customHeight="1">
      <c r="A96" s="216" t="s">
        <v>807</v>
      </c>
      <c r="B96" s="212" t="s">
        <v>775</v>
      </c>
      <c r="C96" s="213" t="s">
        <v>331</v>
      </c>
      <c r="D96" s="213">
        <f>(0.1+0.2+0.2)*3.5*4</f>
        <v>7</v>
      </c>
      <c r="E96" s="214"/>
      <c r="F96" s="467">
        <f t="shared" si="7"/>
        <v>0</v>
      </c>
    </row>
    <row r="97" spans="1:6" ht="16.2">
      <c r="A97" s="216" t="s">
        <v>808</v>
      </c>
      <c r="B97" s="212" t="s">
        <v>255</v>
      </c>
      <c r="C97" s="213" t="s">
        <v>331</v>
      </c>
      <c r="D97" s="213">
        <f>4*6*0.3*4</f>
        <v>28.799999999999997</v>
      </c>
      <c r="E97" s="214"/>
      <c r="F97" s="467">
        <f>D97*E97</f>
        <v>0</v>
      </c>
    </row>
    <row r="98" spans="1:6" ht="14.4">
      <c r="A98" s="216"/>
      <c r="B98" s="212"/>
      <c r="C98" s="214"/>
      <c r="D98" s="213"/>
      <c r="E98" s="214"/>
      <c r="F98" s="467"/>
    </row>
    <row r="99" spans="1:6" ht="14.4">
      <c r="A99" s="217">
        <v>6.1</v>
      </c>
      <c r="B99" s="215" t="s">
        <v>809</v>
      </c>
      <c r="C99" s="211"/>
      <c r="D99" s="213"/>
      <c r="E99" s="214"/>
      <c r="F99" s="467"/>
    </row>
    <row r="100" spans="1:6" ht="28.8">
      <c r="A100" s="216" t="s">
        <v>810</v>
      </c>
      <c r="B100" s="212" t="s">
        <v>256</v>
      </c>
      <c r="C100" s="211"/>
      <c r="D100" s="213"/>
      <c r="E100" s="214"/>
      <c r="F100" s="467"/>
    </row>
    <row r="101" spans="1:6" ht="14.4">
      <c r="A101" s="216"/>
      <c r="B101" s="212" t="s">
        <v>257</v>
      </c>
      <c r="C101" s="211"/>
      <c r="D101" s="213"/>
      <c r="E101" s="214"/>
      <c r="F101" s="467"/>
    </row>
    <row r="102" spans="1:6" ht="14.4">
      <c r="A102" s="216" t="s">
        <v>811</v>
      </c>
      <c r="B102" s="212" t="s">
        <v>258</v>
      </c>
      <c r="C102" s="211" t="s">
        <v>4</v>
      </c>
      <c r="D102" s="213">
        <v>1</v>
      </c>
      <c r="E102" s="214"/>
      <c r="F102" s="467">
        <f>E102*D102</f>
        <v>0</v>
      </c>
    </row>
    <row r="103" spans="1:6" ht="14.4">
      <c r="A103" s="216" t="s">
        <v>812</v>
      </c>
      <c r="B103" s="212" t="s">
        <v>259</v>
      </c>
      <c r="C103" s="211" t="s">
        <v>4</v>
      </c>
      <c r="D103" s="213">
        <v>1</v>
      </c>
      <c r="E103" s="214"/>
      <c r="F103" s="467">
        <f t="shared" ref="F103:F113" si="8">E103*D103</f>
        <v>0</v>
      </c>
    </row>
    <row r="104" spans="1:6" ht="14.4">
      <c r="A104" s="216" t="s">
        <v>813</v>
      </c>
      <c r="B104" s="212" t="s">
        <v>260</v>
      </c>
      <c r="C104" s="211" t="s">
        <v>4</v>
      </c>
      <c r="D104" s="213">
        <v>1</v>
      </c>
      <c r="E104" s="214"/>
      <c r="F104" s="467">
        <f t="shared" si="8"/>
        <v>0</v>
      </c>
    </row>
    <row r="105" spans="1:6" ht="14.4">
      <c r="A105" s="216" t="s">
        <v>814</v>
      </c>
      <c r="B105" s="212" t="s">
        <v>261</v>
      </c>
      <c r="C105" s="211" t="s">
        <v>4</v>
      </c>
      <c r="D105" s="213">
        <v>1</v>
      </c>
      <c r="E105" s="214"/>
      <c r="F105" s="467">
        <f t="shared" si="8"/>
        <v>0</v>
      </c>
    </row>
    <row r="106" spans="1:6" ht="28.8">
      <c r="A106" s="216" t="s">
        <v>815</v>
      </c>
      <c r="B106" s="212" t="s">
        <v>262</v>
      </c>
      <c r="C106" s="211" t="s">
        <v>4</v>
      </c>
      <c r="D106" s="213">
        <v>1</v>
      </c>
      <c r="E106" s="214"/>
      <c r="F106" s="467">
        <f t="shared" si="8"/>
        <v>0</v>
      </c>
    </row>
    <row r="107" spans="1:6" ht="14.4">
      <c r="A107" s="216" t="s">
        <v>816</v>
      </c>
      <c r="B107" s="212" t="s">
        <v>263</v>
      </c>
      <c r="C107" s="211" t="s">
        <v>4</v>
      </c>
      <c r="D107" s="213">
        <v>1</v>
      </c>
      <c r="E107" s="214"/>
      <c r="F107" s="467">
        <f t="shared" si="8"/>
        <v>0</v>
      </c>
    </row>
    <row r="108" spans="1:6" ht="43.2">
      <c r="A108" s="216" t="s">
        <v>817</v>
      </c>
      <c r="B108" s="212" t="s">
        <v>264</v>
      </c>
      <c r="C108" s="211" t="s">
        <v>4</v>
      </c>
      <c r="D108" s="213">
        <v>1</v>
      </c>
      <c r="E108" s="214"/>
      <c r="F108" s="467">
        <f t="shared" si="8"/>
        <v>0</v>
      </c>
    </row>
    <row r="109" spans="1:6" ht="43.2">
      <c r="A109" s="216" t="s">
        <v>818</v>
      </c>
      <c r="B109" s="212" t="s">
        <v>265</v>
      </c>
      <c r="C109" s="211" t="s">
        <v>4</v>
      </c>
      <c r="D109" s="213">
        <v>1</v>
      </c>
      <c r="E109" s="214"/>
      <c r="F109" s="467">
        <f t="shared" si="8"/>
        <v>0</v>
      </c>
    </row>
    <row r="110" spans="1:6" ht="14.4">
      <c r="A110" s="217">
        <v>6.11</v>
      </c>
      <c r="B110" s="215" t="s">
        <v>398</v>
      </c>
      <c r="C110" s="218"/>
      <c r="D110" s="219"/>
      <c r="E110" s="218"/>
      <c r="F110" s="467">
        <f t="shared" si="8"/>
        <v>0</v>
      </c>
    </row>
    <row r="111" spans="1:6" ht="14.4">
      <c r="A111" s="216" t="s">
        <v>819</v>
      </c>
      <c r="B111" s="212" t="s">
        <v>399</v>
      </c>
      <c r="C111" s="214" t="s">
        <v>4</v>
      </c>
      <c r="D111" s="213">
        <v>2</v>
      </c>
      <c r="E111" s="214"/>
      <c r="F111" s="467">
        <f t="shared" si="8"/>
        <v>0</v>
      </c>
    </row>
    <row r="112" spans="1:6" ht="14.4">
      <c r="A112" s="216" t="s">
        <v>820</v>
      </c>
      <c r="B112" s="212" t="s">
        <v>821</v>
      </c>
      <c r="C112" s="214" t="s">
        <v>140</v>
      </c>
      <c r="D112" s="213" t="s">
        <v>281</v>
      </c>
      <c r="E112" s="214"/>
      <c r="F112" s="467">
        <f>E112</f>
        <v>0</v>
      </c>
    </row>
    <row r="113" spans="1:6" ht="14.4">
      <c r="A113" s="216"/>
      <c r="B113" s="226"/>
      <c r="C113" s="211"/>
      <c r="D113" s="213"/>
      <c r="E113" s="214"/>
      <c r="F113" s="467">
        <f t="shared" si="8"/>
        <v>0</v>
      </c>
    </row>
    <row r="114" spans="1:6" ht="14.4">
      <c r="A114" s="217"/>
      <c r="B114" s="224" t="s">
        <v>302</v>
      </c>
      <c r="C114" s="225"/>
      <c r="D114" s="219"/>
      <c r="E114" s="218"/>
      <c r="F114" s="468">
        <f>SUM(F88:F113)</f>
        <v>0</v>
      </c>
    </row>
  </sheetData>
  <customSheetViews>
    <customSheetView guid="{58A41188-4CB9-4607-A927-9B98665919B2}" scale="107" showPageBreaks="1" view="pageBreakPreview" topLeftCell="A246">
      <selection activeCell="H242" sqref="H242"/>
      <pageMargins left="0.7" right="0.7" top="0.75" bottom="0.75" header="0.3" footer="0.3"/>
      <pageSetup orientation="portrait" r:id="rId1"/>
    </customSheetView>
    <customSheetView guid="{1E933494-4ABB-4290-95BF-88ADDB331983}" scale="107" showPageBreaks="1" view="pageBreakPreview" topLeftCell="A246">
      <selection activeCell="H242" sqref="H242"/>
      <pageMargins left="0.7" right="0.7" top="0.75" bottom="0.75" header="0.3" footer="0.3"/>
      <pageSetup orientation="portrait" r:id="rId2"/>
    </customSheetView>
  </customSheetView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view="pageBreakPreview" zoomScale="112" zoomScaleNormal="100" zoomScaleSheetLayoutView="112" workbookViewId="0">
      <pane xSplit="1" ySplit="1" topLeftCell="B92" activePane="bottomRight" state="frozen"/>
      <selection pane="topRight" activeCell="B1" sqref="B1"/>
      <selection pane="bottomLeft" activeCell="A2" sqref="A2"/>
      <selection pane="bottomRight" activeCell="B96" sqref="B96"/>
    </sheetView>
  </sheetViews>
  <sheetFormatPr defaultColWidth="8.88671875" defaultRowHeight="14.4"/>
  <cols>
    <col min="1" max="1" width="5.5546875" style="65" bestFit="1" customWidth="1"/>
    <col min="2" max="2" width="52.6640625" style="65" customWidth="1"/>
    <col min="3" max="3" width="5.33203125" style="435" bestFit="1" customWidth="1"/>
    <col min="4" max="4" width="7.33203125" style="436" bestFit="1" customWidth="1"/>
    <col min="5" max="5" width="6.88671875" style="435" bestFit="1" customWidth="1"/>
    <col min="6" max="6" width="13.33203125" style="457" bestFit="1" customWidth="1"/>
    <col min="7" max="7" width="8.88671875" style="64"/>
    <col min="8" max="16384" width="8.88671875" style="65"/>
  </cols>
  <sheetData>
    <row r="1" spans="1:7">
      <c r="A1" s="61" t="s">
        <v>140</v>
      </c>
      <c r="B1" s="61" t="s">
        <v>286</v>
      </c>
      <c r="C1" s="61" t="s">
        <v>139</v>
      </c>
      <c r="D1" s="62" t="s">
        <v>283</v>
      </c>
      <c r="E1" s="63" t="s">
        <v>143</v>
      </c>
      <c r="F1" s="442" t="s">
        <v>287</v>
      </c>
    </row>
    <row r="2" spans="1:7" s="69" customFormat="1">
      <c r="A2" s="66"/>
      <c r="B2" s="67" t="s">
        <v>230</v>
      </c>
      <c r="C2" s="419"/>
      <c r="D2" s="420"/>
      <c r="E2" s="419"/>
      <c r="F2" s="443"/>
      <c r="G2" s="68"/>
    </row>
    <row r="3" spans="1:7">
      <c r="A3" s="66">
        <v>7</v>
      </c>
      <c r="B3" s="70" t="s">
        <v>762</v>
      </c>
      <c r="C3" s="421"/>
      <c r="D3" s="422"/>
      <c r="E3" s="423"/>
      <c r="F3" s="444"/>
    </row>
    <row r="4" spans="1:7" ht="43.2">
      <c r="A4" s="71"/>
      <c r="B4" s="72" t="s">
        <v>658</v>
      </c>
      <c r="C4" s="421"/>
      <c r="D4" s="420"/>
      <c r="E4" s="419"/>
      <c r="F4" s="444"/>
      <c r="G4" s="65"/>
    </row>
    <row r="5" spans="1:7">
      <c r="A5" s="229"/>
      <c r="B5" s="385"/>
      <c r="C5" s="424"/>
      <c r="D5" s="425"/>
      <c r="E5" s="426"/>
      <c r="F5" s="445"/>
      <c r="G5" s="65"/>
    </row>
    <row r="6" spans="1:7">
      <c r="A6" s="229">
        <v>7.1</v>
      </c>
      <c r="B6" s="74" t="s">
        <v>665</v>
      </c>
      <c r="C6" s="424"/>
      <c r="D6" s="425"/>
      <c r="E6" s="426"/>
      <c r="F6" s="445"/>
      <c r="G6" s="65"/>
    </row>
    <row r="7" spans="1:7">
      <c r="A7" s="229"/>
      <c r="B7" s="385"/>
      <c r="C7" s="424"/>
      <c r="D7" s="425"/>
      <c r="E7" s="426"/>
      <c r="F7" s="445"/>
      <c r="G7" s="65"/>
    </row>
    <row r="8" spans="1:7">
      <c r="A8" s="73"/>
      <c r="B8" s="74" t="s">
        <v>714</v>
      </c>
      <c r="C8" s="427"/>
      <c r="D8" s="422"/>
      <c r="E8" s="427"/>
      <c r="F8" s="444"/>
      <c r="G8" s="65"/>
    </row>
    <row r="9" spans="1:7">
      <c r="A9" s="66" t="s">
        <v>730</v>
      </c>
      <c r="B9" s="75" t="s">
        <v>660</v>
      </c>
      <c r="C9" s="427" t="s">
        <v>97</v>
      </c>
      <c r="D9" s="422">
        <f>CEILING(56*1*0.6,1)</f>
        <v>34</v>
      </c>
      <c r="E9" s="428"/>
      <c r="F9" s="443">
        <f>D9*E9</f>
        <v>0</v>
      </c>
      <c r="G9" s="65"/>
    </row>
    <row r="10" spans="1:7">
      <c r="A10" s="66" t="s">
        <v>731</v>
      </c>
      <c r="B10" s="75" t="s">
        <v>305</v>
      </c>
      <c r="C10" s="427" t="s">
        <v>2</v>
      </c>
      <c r="D10" s="422">
        <f>CEILING(56*0.6,1)</f>
        <v>34</v>
      </c>
      <c r="E10" s="428"/>
      <c r="F10" s="443">
        <f t="shared" ref="F10:F42" si="0">D10*E10</f>
        <v>0</v>
      </c>
      <c r="G10" s="65"/>
    </row>
    <row r="11" spans="1:7" ht="28.8">
      <c r="A11" s="66" t="s">
        <v>732</v>
      </c>
      <c r="B11" s="75" t="s">
        <v>306</v>
      </c>
      <c r="C11" s="427" t="s">
        <v>2</v>
      </c>
      <c r="D11" s="422">
        <f>D10</f>
        <v>34</v>
      </c>
      <c r="E11" s="428"/>
      <c r="F11" s="443">
        <f t="shared" si="0"/>
        <v>0</v>
      </c>
      <c r="G11" s="65"/>
    </row>
    <row r="12" spans="1:7">
      <c r="A12" s="66" t="s">
        <v>733</v>
      </c>
      <c r="B12" s="75" t="s">
        <v>676</v>
      </c>
      <c r="C12" s="427" t="s">
        <v>97</v>
      </c>
      <c r="D12" s="422">
        <f>D9-56*1*0.25</f>
        <v>20</v>
      </c>
      <c r="E12" s="428"/>
      <c r="F12" s="443">
        <f t="shared" si="0"/>
        <v>0</v>
      </c>
      <c r="G12" s="65"/>
    </row>
    <row r="13" spans="1:7">
      <c r="A13" s="66" t="s">
        <v>734</v>
      </c>
      <c r="B13" s="74" t="s">
        <v>661</v>
      </c>
      <c r="C13" s="427"/>
      <c r="D13" s="422"/>
      <c r="E13" s="428"/>
      <c r="F13" s="443">
        <f t="shared" si="0"/>
        <v>0</v>
      </c>
      <c r="G13" s="65"/>
    </row>
    <row r="14" spans="1:7">
      <c r="A14" s="66" t="s">
        <v>735</v>
      </c>
      <c r="B14" s="75" t="s">
        <v>695</v>
      </c>
      <c r="C14" s="427" t="s">
        <v>102</v>
      </c>
      <c r="D14" s="422">
        <f>CEILING((56/0.2+1)*0.6*0.576*1.1,1)</f>
        <v>107</v>
      </c>
      <c r="E14" s="428"/>
      <c r="F14" s="443">
        <f t="shared" si="0"/>
        <v>0</v>
      </c>
      <c r="G14" s="65"/>
    </row>
    <row r="15" spans="1:7">
      <c r="A15" s="66" t="s">
        <v>736</v>
      </c>
      <c r="B15" s="75" t="s">
        <v>696</v>
      </c>
      <c r="C15" s="427" t="s">
        <v>102</v>
      </c>
      <c r="D15" s="422">
        <f>CEILING((56*3)*1.1*0.276,1)</f>
        <v>52</v>
      </c>
      <c r="E15" s="428"/>
      <c r="F15" s="443">
        <f t="shared" si="0"/>
        <v>0</v>
      </c>
      <c r="G15" s="65"/>
    </row>
    <row r="16" spans="1:7">
      <c r="A16" s="66"/>
      <c r="B16" s="74" t="s">
        <v>309</v>
      </c>
      <c r="C16" s="419"/>
      <c r="D16" s="420"/>
      <c r="E16" s="426"/>
      <c r="F16" s="443">
        <f t="shared" si="0"/>
        <v>0</v>
      </c>
      <c r="G16" s="65"/>
    </row>
    <row r="17" spans="1:7">
      <c r="A17" s="66" t="s">
        <v>740</v>
      </c>
      <c r="B17" s="75" t="s">
        <v>659</v>
      </c>
      <c r="C17" s="427" t="s">
        <v>97</v>
      </c>
      <c r="D17" s="422">
        <f>CEILING(0.5*0.2*56,1)</f>
        <v>6</v>
      </c>
      <c r="E17" s="428"/>
      <c r="F17" s="443">
        <f t="shared" si="0"/>
        <v>0</v>
      </c>
      <c r="G17" s="65"/>
    </row>
    <row r="18" spans="1:7">
      <c r="A18" s="66"/>
      <c r="B18" s="74" t="s">
        <v>310</v>
      </c>
      <c r="C18" s="427"/>
      <c r="D18" s="422"/>
      <c r="E18" s="428"/>
      <c r="F18" s="443">
        <f t="shared" si="0"/>
        <v>0</v>
      </c>
      <c r="G18" s="65"/>
    </row>
    <row r="19" spans="1:7">
      <c r="A19" s="66" t="s">
        <v>737</v>
      </c>
      <c r="B19" s="75" t="s">
        <v>662</v>
      </c>
      <c r="C19" s="427" t="s">
        <v>3</v>
      </c>
      <c r="D19" s="422">
        <f>56*2*0.2</f>
        <v>22.400000000000002</v>
      </c>
      <c r="E19" s="428"/>
      <c r="F19" s="443">
        <f t="shared" si="0"/>
        <v>0</v>
      </c>
      <c r="G19" s="65"/>
    </row>
    <row r="20" spans="1:7">
      <c r="A20" s="228"/>
      <c r="B20" s="386"/>
      <c r="C20" s="428"/>
      <c r="D20" s="429"/>
      <c r="E20" s="428"/>
      <c r="F20" s="446"/>
      <c r="G20" s="65"/>
    </row>
    <row r="21" spans="1:7">
      <c r="A21" s="66"/>
      <c r="B21" s="74" t="s">
        <v>739</v>
      </c>
      <c r="C21" s="427"/>
      <c r="D21" s="422"/>
      <c r="E21" s="428"/>
      <c r="F21" s="443">
        <f t="shared" si="0"/>
        <v>0</v>
      </c>
      <c r="G21" s="65"/>
    </row>
    <row r="22" spans="1:7">
      <c r="A22" s="228"/>
      <c r="B22" s="390" t="s">
        <v>679</v>
      </c>
      <c r="C22" s="428"/>
      <c r="D22" s="429"/>
      <c r="E22" s="428"/>
      <c r="F22" s="446"/>
      <c r="G22" s="65"/>
    </row>
    <row r="23" spans="1:7" ht="28.8">
      <c r="A23" s="76" t="s">
        <v>738</v>
      </c>
      <c r="B23" s="75" t="s">
        <v>678</v>
      </c>
      <c r="C23" s="427" t="s">
        <v>97</v>
      </c>
      <c r="D23" s="422">
        <f>CEILING(56*3.8*0.2,1)</f>
        <v>43</v>
      </c>
      <c r="E23" s="428"/>
      <c r="F23" s="443">
        <f t="shared" si="0"/>
        <v>0</v>
      </c>
      <c r="G23" s="65"/>
    </row>
    <row r="24" spans="1:7">
      <c r="A24" s="66"/>
      <c r="B24" s="74" t="s">
        <v>663</v>
      </c>
      <c r="C24" s="427"/>
      <c r="D24" s="422"/>
      <c r="E24" s="426"/>
      <c r="F24" s="443">
        <f t="shared" si="0"/>
        <v>0</v>
      </c>
      <c r="G24" s="65"/>
    </row>
    <row r="25" spans="1:7">
      <c r="A25" s="66" t="s">
        <v>741</v>
      </c>
      <c r="B25" s="75" t="s">
        <v>677</v>
      </c>
      <c r="C25" s="427" t="s">
        <v>2</v>
      </c>
      <c r="D25" s="422">
        <f>CEILING(56*3.8*2,1)</f>
        <v>426</v>
      </c>
      <c r="E25" s="428"/>
      <c r="F25" s="443">
        <f t="shared" si="0"/>
        <v>0</v>
      </c>
      <c r="G25" s="65"/>
    </row>
    <row r="26" spans="1:7">
      <c r="A26" s="228"/>
      <c r="B26" s="391" t="s">
        <v>680</v>
      </c>
      <c r="C26" s="428"/>
      <c r="D26" s="429"/>
      <c r="E26" s="428"/>
      <c r="F26" s="443">
        <f t="shared" si="0"/>
        <v>0</v>
      </c>
      <c r="G26" s="65"/>
    </row>
    <row r="27" spans="1:7">
      <c r="A27" s="228" t="s">
        <v>742</v>
      </c>
      <c r="B27" s="386" t="s">
        <v>681</v>
      </c>
      <c r="C27" s="428" t="s">
        <v>102</v>
      </c>
      <c r="D27" s="429">
        <v>1580</v>
      </c>
      <c r="E27" s="428"/>
      <c r="F27" s="443">
        <f t="shared" si="0"/>
        <v>0</v>
      </c>
      <c r="G27" s="65">
        <f>((56/0.2+1)*4.2+(3.8/0.2+1)*56)*1.1*0.617</f>
        <v>1561.1457399999999</v>
      </c>
    </row>
    <row r="28" spans="1:7" s="398" customFormat="1">
      <c r="A28" s="392"/>
      <c r="B28" s="393" t="s">
        <v>682</v>
      </c>
      <c r="C28" s="394"/>
      <c r="D28" s="395"/>
      <c r="E28" s="396"/>
      <c r="F28" s="397"/>
    </row>
    <row r="29" spans="1:7" s="29" customFormat="1" ht="28.8">
      <c r="A29" s="228" t="s">
        <v>743</v>
      </c>
      <c r="B29" s="404" t="s">
        <v>685</v>
      </c>
      <c r="C29" s="401" t="s">
        <v>2</v>
      </c>
      <c r="D29" s="402">
        <v>56</v>
      </c>
      <c r="E29" s="403"/>
      <c r="F29" s="447">
        <f>D29*E29</f>
        <v>0</v>
      </c>
    </row>
    <row r="30" spans="1:7" s="29" customFormat="1" ht="28.8">
      <c r="A30" s="228" t="s">
        <v>744</v>
      </c>
      <c r="B30" s="404" t="s">
        <v>1212</v>
      </c>
      <c r="C30" s="401" t="s">
        <v>3</v>
      </c>
      <c r="D30" s="402">
        <v>56</v>
      </c>
      <c r="E30" s="403"/>
      <c r="F30" s="447">
        <f>D30*E30</f>
        <v>0</v>
      </c>
    </row>
    <row r="31" spans="1:7" s="29" customFormat="1" ht="28.8">
      <c r="A31" s="228" t="s">
        <v>745</v>
      </c>
      <c r="B31" s="404" t="s">
        <v>686</v>
      </c>
      <c r="C31" s="401" t="s">
        <v>3</v>
      </c>
      <c r="D31" s="402">
        <v>56</v>
      </c>
      <c r="E31" s="403"/>
      <c r="F31" s="447">
        <f>D31*E31</f>
        <v>0</v>
      </c>
      <c r="G31" s="29">
        <f>2.21*1.52+1.37*1.22</f>
        <v>5.0305999999999997</v>
      </c>
    </row>
    <row r="32" spans="1:7" s="29" customFormat="1" ht="43.2">
      <c r="A32" s="228" t="s">
        <v>746</v>
      </c>
      <c r="B32" s="404" t="s">
        <v>687</v>
      </c>
      <c r="C32" s="401" t="s">
        <v>97</v>
      </c>
      <c r="D32" s="402">
        <v>290</v>
      </c>
      <c r="E32" s="403"/>
      <c r="F32" s="447">
        <f>D32*E32</f>
        <v>0</v>
      </c>
      <c r="G32" s="29">
        <f>G31*56</f>
        <v>281.71359999999999</v>
      </c>
    </row>
    <row r="33" spans="1:15" s="29" customFormat="1">
      <c r="A33" s="416"/>
      <c r="B33" s="404"/>
      <c r="C33" s="401"/>
      <c r="D33" s="402"/>
      <c r="E33" s="403"/>
      <c r="F33" s="447"/>
    </row>
    <row r="34" spans="1:15" s="104" customFormat="1">
      <c r="A34" s="399"/>
      <c r="B34" s="400" t="s">
        <v>227</v>
      </c>
      <c r="C34" s="405"/>
      <c r="D34" s="406"/>
      <c r="E34" s="407"/>
      <c r="F34" s="448">
        <f>SUM(F4:F33)</f>
        <v>0</v>
      </c>
    </row>
    <row r="35" spans="1:15">
      <c r="A35" s="61" t="s">
        <v>140</v>
      </c>
      <c r="B35" s="61" t="s">
        <v>286</v>
      </c>
      <c r="C35" s="61" t="s">
        <v>139</v>
      </c>
      <c r="D35" s="62" t="s">
        <v>283</v>
      </c>
      <c r="E35" s="63" t="s">
        <v>143</v>
      </c>
      <c r="F35" s="442" t="s">
        <v>287</v>
      </c>
    </row>
    <row r="36" spans="1:15" s="104" customFormat="1">
      <c r="A36" s="399">
        <v>7.2</v>
      </c>
      <c r="B36" s="400" t="s">
        <v>688</v>
      </c>
      <c r="C36" s="405"/>
      <c r="D36" s="406"/>
      <c r="E36" s="407"/>
      <c r="F36" s="448"/>
    </row>
    <row r="37" spans="1:15" s="104" customFormat="1">
      <c r="A37" s="399"/>
      <c r="B37" s="400" t="s">
        <v>224</v>
      </c>
      <c r="C37" s="405"/>
      <c r="D37" s="406"/>
      <c r="E37" s="407"/>
      <c r="F37" s="448">
        <f>F34</f>
        <v>0</v>
      </c>
    </row>
    <row r="38" spans="1:15" s="412" customFormat="1" ht="100.8">
      <c r="A38" s="408" t="s">
        <v>709</v>
      </c>
      <c r="B38" s="409" t="s">
        <v>690</v>
      </c>
      <c r="C38" s="408" t="s">
        <v>4</v>
      </c>
      <c r="D38" s="408">
        <v>39</v>
      </c>
      <c r="E38" s="410"/>
      <c r="F38" s="449">
        <f>D38*E38</f>
        <v>0</v>
      </c>
      <c r="G38" s="411">
        <f>56/1.5+1</f>
        <v>38.333333333333336</v>
      </c>
      <c r="H38" s="411"/>
      <c r="I38" s="411"/>
      <c r="J38" s="411"/>
      <c r="K38" s="411"/>
      <c r="L38" s="411"/>
      <c r="M38" s="411"/>
      <c r="N38" s="411"/>
      <c r="O38" s="411"/>
    </row>
    <row r="39" spans="1:15" s="412" customFormat="1" ht="57.6">
      <c r="A39" s="408" t="s">
        <v>710</v>
      </c>
      <c r="B39" s="409" t="s">
        <v>692</v>
      </c>
      <c r="C39" s="408" t="s">
        <v>545</v>
      </c>
      <c r="D39" s="413">
        <f>D31</f>
        <v>56</v>
      </c>
      <c r="E39" s="410"/>
      <c r="F39" s="449">
        <f>D39*E39</f>
        <v>0</v>
      </c>
      <c r="G39" s="411"/>
      <c r="H39" s="411"/>
      <c r="I39" s="411"/>
      <c r="J39" s="411"/>
      <c r="K39" s="411"/>
      <c r="L39" s="411"/>
      <c r="M39" s="411"/>
      <c r="N39" s="411"/>
      <c r="O39" s="411"/>
    </row>
    <row r="40" spans="1:15" s="412" customFormat="1" ht="43.2">
      <c r="A40" s="408" t="s">
        <v>711</v>
      </c>
      <c r="B40" s="409" t="s">
        <v>694</v>
      </c>
      <c r="C40" s="408" t="s">
        <v>545</v>
      </c>
      <c r="D40" s="413">
        <f>D39</f>
        <v>56</v>
      </c>
      <c r="E40" s="410"/>
      <c r="F40" s="449">
        <f>D40*E40</f>
        <v>0</v>
      </c>
      <c r="G40" s="414"/>
      <c r="H40" s="414"/>
      <c r="I40" s="414"/>
      <c r="J40" s="411"/>
      <c r="K40" s="411"/>
      <c r="L40" s="411"/>
      <c r="M40" s="411"/>
      <c r="N40" s="411"/>
      <c r="O40" s="411"/>
    </row>
    <row r="41" spans="1:15">
      <c r="A41" s="66"/>
      <c r="B41" s="74" t="s">
        <v>664</v>
      </c>
      <c r="C41" s="427"/>
      <c r="D41" s="422"/>
      <c r="E41" s="428"/>
      <c r="F41" s="443">
        <f t="shared" si="0"/>
        <v>0</v>
      </c>
      <c r="G41" s="65"/>
    </row>
    <row r="42" spans="1:15" ht="28.8">
      <c r="A42" s="66" t="s">
        <v>712</v>
      </c>
      <c r="B42" s="75" t="s">
        <v>315</v>
      </c>
      <c r="C42" s="427" t="s">
        <v>2</v>
      </c>
      <c r="D42" s="422">
        <f>CEILING(56*3,1)</f>
        <v>168</v>
      </c>
      <c r="E42" s="428"/>
      <c r="F42" s="443">
        <f t="shared" si="0"/>
        <v>0</v>
      </c>
      <c r="G42" s="65"/>
    </row>
    <row r="43" spans="1:15">
      <c r="A43" s="228"/>
      <c r="B43" s="386"/>
      <c r="C43" s="428"/>
      <c r="D43" s="429"/>
      <c r="E43" s="428"/>
      <c r="F43" s="446"/>
      <c r="G43" s="65"/>
    </row>
    <row r="44" spans="1:15" ht="28.8">
      <c r="A44" s="73">
        <v>7.3</v>
      </c>
      <c r="B44" s="74" t="s">
        <v>713</v>
      </c>
      <c r="C44" s="424"/>
      <c r="D44" s="425"/>
      <c r="E44" s="426"/>
      <c r="F44" s="445"/>
      <c r="G44" s="65"/>
    </row>
    <row r="45" spans="1:15">
      <c r="B45" s="74" t="s">
        <v>714</v>
      </c>
      <c r="C45" s="427"/>
      <c r="D45" s="422"/>
      <c r="E45" s="427"/>
      <c r="F45" s="444"/>
      <c r="G45" s="65"/>
    </row>
    <row r="46" spans="1:15">
      <c r="A46" s="66" t="s">
        <v>715</v>
      </c>
      <c r="B46" s="75" t="s">
        <v>660</v>
      </c>
      <c r="C46" s="427" t="s">
        <v>97</v>
      </c>
      <c r="D46" s="422">
        <f>CEILING(196*1*0.6,1)</f>
        <v>118</v>
      </c>
      <c r="E46" s="428"/>
      <c r="F46" s="443">
        <f>D46*E46</f>
        <v>0</v>
      </c>
      <c r="G46" s="65"/>
    </row>
    <row r="47" spans="1:15">
      <c r="A47" s="66" t="s">
        <v>716</v>
      </c>
      <c r="B47" s="75" t="s">
        <v>305</v>
      </c>
      <c r="C47" s="427" t="s">
        <v>2</v>
      </c>
      <c r="D47" s="422">
        <f>CEILING(196*0.6,1)</f>
        <v>118</v>
      </c>
      <c r="E47" s="428"/>
      <c r="F47" s="443">
        <f t="shared" ref="F47:F78" si="1">D47*E47</f>
        <v>0</v>
      </c>
      <c r="G47" s="65"/>
    </row>
    <row r="48" spans="1:15" ht="28.8">
      <c r="A48" s="66" t="s">
        <v>717</v>
      </c>
      <c r="B48" s="75" t="s">
        <v>306</v>
      </c>
      <c r="C48" s="427" t="s">
        <v>2</v>
      </c>
      <c r="D48" s="422">
        <f>D47</f>
        <v>118</v>
      </c>
      <c r="E48" s="428"/>
      <c r="F48" s="443">
        <f t="shared" si="1"/>
        <v>0</v>
      </c>
      <c r="G48" s="65"/>
    </row>
    <row r="49" spans="1:7" ht="28.8">
      <c r="A49" s="66" t="s">
        <v>718</v>
      </c>
      <c r="B49" s="75" t="s">
        <v>307</v>
      </c>
      <c r="C49" s="427" t="s">
        <v>2</v>
      </c>
      <c r="D49" s="422">
        <f>196*1</f>
        <v>196</v>
      </c>
      <c r="E49" s="428"/>
      <c r="F49" s="443">
        <f t="shared" si="1"/>
        <v>0</v>
      </c>
      <c r="G49" s="65"/>
    </row>
    <row r="50" spans="1:7">
      <c r="A50" s="66" t="s">
        <v>719</v>
      </c>
      <c r="B50" s="75" t="s">
        <v>676</v>
      </c>
      <c r="C50" s="427" t="s">
        <v>97</v>
      </c>
      <c r="D50" s="422">
        <f>D46-196*1*0.2</f>
        <v>78.8</v>
      </c>
      <c r="E50" s="428"/>
      <c r="F50" s="443">
        <f t="shared" si="1"/>
        <v>0</v>
      </c>
      <c r="G50" s="65"/>
    </row>
    <row r="51" spans="1:7">
      <c r="A51" s="66"/>
      <c r="B51" s="74" t="s">
        <v>308</v>
      </c>
      <c r="C51" s="427"/>
      <c r="D51" s="422"/>
      <c r="E51" s="428"/>
      <c r="F51" s="443">
        <f t="shared" si="1"/>
        <v>0</v>
      </c>
      <c r="G51" s="65"/>
    </row>
    <row r="52" spans="1:7">
      <c r="A52" s="66" t="s">
        <v>720</v>
      </c>
      <c r="B52" s="75" t="s">
        <v>697</v>
      </c>
      <c r="C52" s="427" t="s">
        <v>102</v>
      </c>
      <c r="D52" s="422">
        <f>196*4*0.888*1.1</f>
        <v>765.8112000000001</v>
      </c>
      <c r="E52" s="428"/>
      <c r="F52" s="443">
        <f t="shared" si="1"/>
        <v>0</v>
      </c>
      <c r="G52" s="65"/>
    </row>
    <row r="53" spans="1:7">
      <c r="A53" s="66" t="s">
        <v>721</v>
      </c>
      <c r="B53" s="75" t="s">
        <v>696</v>
      </c>
      <c r="C53" s="427" t="s">
        <v>102</v>
      </c>
      <c r="D53" s="422">
        <f>(196/0.25+1)*0.9*1.1*0.276</f>
        <v>214.49340000000004</v>
      </c>
      <c r="E53" s="428"/>
      <c r="F53" s="443">
        <f t="shared" si="1"/>
        <v>0</v>
      </c>
      <c r="G53" s="65"/>
    </row>
    <row r="54" spans="1:7">
      <c r="A54" s="66" t="s">
        <v>722</v>
      </c>
      <c r="B54" s="74" t="s">
        <v>309</v>
      </c>
      <c r="C54" s="419"/>
      <c r="D54" s="420"/>
      <c r="E54" s="426"/>
      <c r="F54" s="443">
        <f t="shared" si="1"/>
        <v>0</v>
      </c>
      <c r="G54" s="65"/>
    </row>
    <row r="55" spans="1:7">
      <c r="A55" s="66" t="s">
        <v>723</v>
      </c>
      <c r="B55" s="75" t="s">
        <v>666</v>
      </c>
      <c r="C55" s="427" t="s">
        <v>97</v>
      </c>
      <c r="D55" s="422">
        <f>CEILING(0.4*0.2*196,1)</f>
        <v>16</v>
      </c>
      <c r="E55" s="428"/>
      <c r="F55" s="443">
        <f t="shared" si="1"/>
        <v>0</v>
      </c>
      <c r="G55" s="65"/>
    </row>
    <row r="56" spans="1:7">
      <c r="A56" s="66"/>
      <c r="B56" s="74" t="s">
        <v>310</v>
      </c>
      <c r="C56" s="427"/>
      <c r="D56" s="422"/>
      <c r="E56" s="428"/>
      <c r="F56" s="443">
        <f t="shared" si="1"/>
        <v>0</v>
      </c>
      <c r="G56" s="65"/>
    </row>
    <row r="57" spans="1:7">
      <c r="A57" s="66" t="s">
        <v>724</v>
      </c>
      <c r="B57" s="75" t="s">
        <v>311</v>
      </c>
      <c r="C57" s="427" t="s">
        <v>3</v>
      </c>
      <c r="D57" s="422">
        <f>196*2*0.2</f>
        <v>78.400000000000006</v>
      </c>
      <c r="E57" s="428"/>
      <c r="F57" s="443">
        <f t="shared" si="1"/>
        <v>0</v>
      </c>
      <c r="G57" s="65"/>
    </row>
    <row r="58" spans="1:7">
      <c r="A58" s="66"/>
      <c r="B58" s="74" t="s">
        <v>667</v>
      </c>
      <c r="C58" s="427"/>
      <c r="D58" s="422"/>
      <c r="E58" s="428"/>
      <c r="F58" s="443">
        <f t="shared" si="1"/>
        <v>0</v>
      </c>
      <c r="G58" s="65"/>
    </row>
    <row r="59" spans="1:7" ht="28.8">
      <c r="A59" s="76" t="s">
        <v>725</v>
      </c>
      <c r="B59" s="75" t="s">
        <v>316</v>
      </c>
      <c r="C59" s="427" t="s">
        <v>2</v>
      </c>
      <c r="D59" s="422">
        <f>196*3</f>
        <v>588</v>
      </c>
      <c r="E59" s="428"/>
      <c r="F59" s="443">
        <f t="shared" si="1"/>
        <v>0</v>
      </c>
      <c r="G59" s="65"/>
    </row>
    <row r="60" spans="1:7">
      <c r="A60" s="415"/>
      <c r="B60" s="391" t="s">
        <v>699</v>
      </c>
      <c r="C60" s="428"/>
      <c r="D60" s="429"/>
      <c r="E60" s="428"/>
      <c r="F60" s="443">
        <f t="shared" si="1"/>
        <v>0</v>
      </c>
      <c r="G60" s="65"/>
    </row>
    <row r="61" spans="1:7">
      <c r="A61" s="415" t="s">
        <v>726</v>
      </c>
      <c r="B61" s="386" t="s">
        <v>700</v>
      </c>
      <c r="C61" s="428" t="s">
        <v>3</v>
      </c>
      <c r="D61" s="429">
        <v>3</v>
      </c>
      <c r="E61" s="428"/>
      <c r="F61" s="443">
        <f t="shared" si="1"/>
        <v>0</v>
      </c>
      <c r="G61" s="65"/>
    </row>
    <row r="62" spans="1:7">
      <c r="A62" s="66"/>
      <c r="B62" s="74" t="s">
        <v>701</v>
      </c>
      <c r="C62" s="427"/>
      <c r="D62" s="422"/>
      <c r="E62" s="428"/>
      <c r="F62" s="443">
        <f t="shared" si="1"/>
        <v>0</v>
      </c>
      <c r="G62" s="65"/>
    </row>
    <row r="63" spans="1:7">
      <c r="A63" s="66" t="s">
        <v>727</v>
      </c>
      <c r="B63" s="75" t="s">
        <v>703</v>
      </c>
      <c r="C63" s="427" t="s">
        <v>102</v>
      </c>
      <c r="D63" s="422">
        <f>D52</f>
        <v>765.8112000000001</v>
      </c>
      <c r="E63" s="428"/>
      <c r="F63" s="443">
        <f t="shared" si="1"/>
        <v>0</v>
      </c>
      <c r="G63" s="65"/>
    </row>
    <row r="64" spans="1:7">
      <c r="A64" s="66" t="s">
        <v>728</v>
      </c>
      <c r="B64" s="75" t="s">
        <v>702</v>
      </c>
      <c r="C64" s="427" t="s">
        <v>102</v>
      </c>
      <c r="D64" s="422">
        <f>(196/0.25 +1)*0.9*1.1*0.276</f>
        <v>214.49340000000004</v>
      </c>
      <c r="E64" s="428"/>
      <c r="F64" s="443">
        <f t="shared" si="1"/>
        <v>0</v>
      </c>
      <c r="G64" s="65"/>
    </row>
    <row r="65" spans="1:7">
      <c r="A65" s="228" t="s">
        <v>729</v>
      </c>
      <c r="B65" s="386" t="s">
        <v>704</v>
      </c>
      <c r="C65" s="427" t="s">
        <v>102</v>
      </c>
      <c r="D65" s="429">
        <f>CEILING(6*4.2*4*0.888,1)</f>
        <v>90</v>
      </c>
      <c r="E65" s="428"/>
      <c r="F65" s="443">
        <f t="shared" si="1"/>
        <v>0</v>
      </c>
      <c r="G65" s="65"/>
    </row>
    <row r="66" spans="1:7">
      <c r="A66" s="228" t="s">
        <v>748</v>
      </c>
      <c r="B66" s="386" t="s">
        <v>702</v>
      </c>
      <c r="C66" s="427" t="s">
        <v>102</v>
      </c>
      <c r="D66" s="429">
        <f>CEILING((4/0.2+1)*1.3*0.395*6,1)</f>
        <v>65</v>
      </c>
      <c r="E66" s="428"/>
      <c r="F66" s="443">
        <f t="shared" si="1"/>
        <v>0</v>
      </c>
      <c r="G66" s="65"/>
    </row>
    <row r="67" spans="1:7">
      <c r="A67" s="1127"/>
      <c r="B67" s="1128"/>
      <c r="C67" s="1129"/>
      <c r="D67" s="947"/>
      <c r="E67" s="1129"/>
      <c r="F67" s="1130"/>
      <c r="G67" s="65"/>
    </row>
    <row r="68" spans="1:7" s="191" customFormat="1">
      <c r="A68" s="437"/>
      <c r="B68" s="391" t="s">
        <v>747</v>
      </c>
      <c r="C68" s="438"/>
      <c r="D68" s="439"/>
      <c r="E68" s="438"/>
      <c r="F68" s="450">
        <f>SUM(F37:F66)</f>
        <v>0</v>
      </c>
    </row>
    <row r="69" spans="1:7">
      <c r="A69" s="61" t="s">
        <v>140</v>
      </c>
      <c r="B69" s="61" t="s">
        <v>286</v>
      </c>
      <c r="C69" s="61" t="s">
        <v>139</v>
      </c>
      <c r="D69" s="62" t="s">
        <v>283</v>
      </c>
      <c r="E69" s="63" t="s">
        <v>143</v>
      </c>
      <c r="F69" s="442" t="s">
        <v>287</v>
      </c>
    </row>
    <row r="70" spans="1:7">
      <c r="A70" s="227"/>
      <c r="B70" s="227" t="s">
        <v>224</v>
      </c>
      <c r="C70" s="227"/>
      <c r="D70" s="440"/>
      <c r="E70" s="441"/>
      <c r="F70" s="451">
        <f>F68</f>
        <v>0</v>
      </c>
    </row>
    <row r="71" spans="1:7">
      <c r="A71" s="66"/>
      <c r="B71" s="74" t="s">
        <v>312</v>
      </c>
      <c r="C71" s="419"/>
      <c r="D71" s="420"/>
      <c r="E71" s="428"/>
      <c r="F71" s="443">
        <f t="shared" si="1"/>
        <v>0</v>
      </c>
      <c r="G71" s="65"/>
    </row>
    <row r="72" spans="1:7">
      <c r="A72" s="66" t="s">
        <v>749</v>
      </c>
      <c r="B72" s="75" t="s">
        <v>317</v>
      </c>
      <c r="C72" s="427" t="s">
        <v>97</v>
      </c>
      <c r="D72" s="422">
        <f>442*0.4*0.2</f>
        <v>35.360000000000007</v>
      </c>
      <c r="E72" s="428"/>
      <c r="F72" s="443">
        <f t="shared" si="1"/>
        <v>0</v>
      </c>
      <c r="G72" s="65"/>
    </row>
    <row r="73" spans="1:7">
      <c r="A73" s="228" t="s">
        <v>749</v>
      </c>
      <c r="B73" s="386" t="s">
        <v>705</v>
      </c>
      <c r="C73" s="428" t="s">
        <v>97</v>
      </c>
      <c r="D73" s="429">
        <f>CEILING(6*0.4*0.4*4,1)</f>
        <v>4</v>
      </c>
      <c r="E73" s="428"/>
      <c r="F73" s="446">
        <f t="shared" si="1"/>
        <v>0</v>
      </c>
      <c r="G73" s="65"/>
    </row>
    <row r="74" spans="1:7">
      <c r="A74" s="66"/>
      <c r="B74" s="74" t="s">
        <v>310</v>
      </c>
      <c r="C74" s="427"/>
      <c r="D74" s="422"/>
      <c r="E74" s="426"/>
      <c r="F74" s="443">
        <f t="shared" si="1"/>
        <v>0</v>
      </c>
      <c r="G74" s="65"/>
    </row>
    <row r="75" spans="1:7">
      <c r="A75" s="66" t="s">
        <v>750</v>
      </c>
      <c r="B75" s="75" t="s">
        <v>313</v>
      </c>
      <c r="C75" s="427" t="s">
        <v>3</v>
      </c>
      <c r="D75" s="422">
        <f>CEILING(0.4*0.2*196,1)</f>
        <v>16</v>
      </c>
      <c r="E75" s="428"/>
      <c r="F75" s="443">
        <f t="shared" si="1"/>
        <v>0</v>
      </c>
      <c r="G75" s="65"/>
    </row>
    <row r="76" spans="1:7">
      <c r="A76" s="66"/>
      <c r="B76" s="74" t="s">
        <v>314</v>
      </c>
      <c r="C76" s="427"/>
      <c r="D76" s="422"/>
      <c r="E76" s="428"/>
      <c r="F76" s="443">
        <f t="shared" si="1"/>
        <v>0</v>
      </c>
      <c r="G76" s="65"/>
    </row>
    <row r="77" spans="1:7" ht="28.8">
      <c r="A77" s="66" t="s">
        <v>751</v>
      </c>
      <c r="B77" s="75" t="s">
        <v>318</v>
      </c>
      <c r="C77" s="427" t="s">
        <v>2</v>
      </c>
      <c r="D77" s="422">
        <f>126*2*3.5+70*3.5</f>
        <v>1127</v>
      </c>
      <c r="E77" s="428"/>
      <c r="F77" s="443">
        <f t="shared" si="1"/>
        <v>0</v>
      </c>
      <c r="G77" s="65"/>
    </row>
    <row r="78" spans="1:7" ht="28.8">
      <c r="A78" s="66" t="s">
        <v>752</v>
      </c>
      <c r="B78" s="75" t="s">
        <v>315</v>
      </c>
      <c r="C78" s="427" t="s">
        <v>2</v>
      </c>
      <c r="D78" s="422">
        <f>D77</f>
        <v>1127</v>
      </c>
      <c r="E78" s="428"/>
      <c r="F78" s="443">
        <f t="shared" si="1"/>
        <v>0</v>
      </c>
      <c r="G78" s="65"/>
    </row>
    <row r="79" spans="1:7">
      <c r="A79" s="416"/>
      <c r="B79" s="417"/>
      <c r="C79" s="430"/>
      <c r="D79" s="431"/>
      <c r="E79" s="430"/>
      <c r="F79" s="452"/>
      <c r="G79" s="65"/>
    </row>
    <row r="80" spans="1:7" s="104" customFormat="1">
      <c r="A80" s="399">
        <v>7.4</v>
      </c>
      <c r="B80" s="400" t="s">
        <v>688</v>
      </c>
      <c r="C80" s="405"/>
      <c r="D80" s="406"/>
      <c r="E80" s="407"/>
      <c r="F80" s="448"/>
    </row>
    <row r="81" spans="1:15" s="412" customFormat="1" ht="72">
      <c r="A81" s="408" t="s">
        <v>753</v>
      </c>
      <c r="B81" s="409" t="s">
        <v>698</v>
      </c>
      <c r="C81" s="408" t="s">
        <v>4</v>
      </c>
      <c r="D81" s="408">
        <v>132</v>
      </c>
      <c r="E81" s="410"/>
      <c r="F81" s="449">
        <f>D81*E81</f>
        <v>0</v>
      </c>
      <c r="G81" s="411">
        <f>196/1.5+1</f>
        <v>131.66666666666666</v>
      </c>
      <c r="H81" s="411"/>
      <c r="I81" s="411"/>
      <c r="J81" s="411"/>
      <c r="K81" s="411"/>
      <c r="L81" s="411"/>
      <c r="M81" s="411"/>
      <c r="N81" s="411"/>
      <c r="O81" s="411"/>
    </row>
    <row r="82" spans="1:15" s="412" customFormat="1" ht="57.6">
      <c r="A82" s="408" t="s">
        <v>754</v>
      </c>
      <c r="B82" s="409" t="s">
        <v>692</v>
      </c>
      <c r="C82" s="408" t="s">
        <v>545</v>
      </c>
      <c r="D82" s="413">
        <v>196</v>
      </c>
      <c r="E82" s="410"/>
      <c r="F82" s="449">
        <f>D82*E82</f>
        <v>0</v>
      </c>
      <c r="G82" s="411"/>
      <c r="H82" s="411"/>
      <c r="I82" s="411"/>
      <c r="J82" s="411"/>
      <c r="K82" s="411"/>
      <c r="L82" s="411"/>
      <c r="M82" s="411"/>
      <c r="N82" s="411"/>
      <c r="O82" s="411"/>
    </row>
    <row r="83" spans="1:15" s="412" customFormat="1" ht="43.2">
      <c r="A83" s="408" t="s">
        <v>755</v>
      </c>
      <c r="B83" s="409" t="s">
        <v>694</v>
      </c>
      <c r="C83" s="408" t="s">
        <v>545</v>
      </c>
      <c r="D83" s="413">
        <f>D82</f>
        <v>196</v>
      </c>
      <c r="E83" s="410"/>
      <c r="F83" s="449">
        <f>D83*E83</f>
        <v>0</v>
      </c>
      <c r="G83" s="414"/>
      <c r="H83" s="414"/>
      <c r="I83" s="414"/>
      <c r="J83" s="411"/>
      <c r="K83" s="411"/>
      <c r="L83" s="411"/>
      <c r="M83" s="411"/>
      <c r="N83" s="411"/>
      <c r="O83" s="411"/>
    </row>
    <row r="84" spans="1:15" s="412" customFormat="1">
      <c r="A84" s="408"/>
      <c r="B84" s="409"/>
      <c r="C84" s="408"/>
      <c r="D84" s="413"/>
      <c r="E84" s="410"/>
      <c r="F84" s="449">
        <f t="shared" ref="F84:F87" si="2">D84*E84</f>
        <v>0</v>
      </c>
      <c r="G84" s="414"/>
      <c r="H84" s="414"/>
      <c r="I84" s="414"/>
      <c r="J84" s="411"/>
      <c r="K84" s="411"/>
      <c r="L84" s="411"/>
      <c r="M84" s="411"/>
      <c r="N84" s="411"/>
      <c r="O84" s="411"/>
    </row>
    <row r="85" spans="1:15" s="310" customFormat="1">
      <c r="A85" s="242">
        <v>7.5</v>
      </c>
      <c r="B85" s="313" t="s">
        <v>266</v>
      </c>
      <c r="C85" s="312"/>
      <c r="D85" s="233"/>
      <c r="E85" s="248"/>
      <c r="F85" s="449">
        <f t="shared" si="2"/>
        <v>0</v>
      </c>
    </row>
    <row r="86" spans="1:15" s="310" customFormat="1" ht="72">
      <c r="A86" s="242" t="s">
        <v>756</v>
      </c>
      <c r="B86" s="409" t="s">
        <v>706</v>
      </c>
      <c r="C86" s="312" t="s">
        <v>117</v>
      </c>
      <c r="D86" s="432">
        <v>1</v>
      </c>
      <c r="E86" s="248"/>
      <c r="F86" s="449">
        <f t="shared" si="2"/>
        <v>0</v>
      </c>
    </row>
    <row r="87" spans="1:15" s="310" customFormat="1" ht="144">
      <c r="A87" s="242" t="s">
        <v>757</v>
      </c>
      <c r="B87" s="409" t="s">
        <v>707</v>
      </c>
      <c r="C87" s="312" t="s">
        <v>4</v>
      </c>
      <c r="D87" s="432">
        <v>2</v>
      </c>
      <c r="E87" s="248"/>
      <c r="F87" s="449">
        <f t="shared" si="2"/>
        <v>0</v>
      </c>
    </row>
    <row r="88" spans="1:15" s="310" customFormat="1">
      <c r="A88" s="242"/>
      <c r="B88" s="418"/>
      <c r="C88" s="312"/>
      <c r="D88" s="432"/>
      <c r="E88" s="248"/>
      <c r="F88" s="453"/>
    </row>
    <row r="89" spans="1:15" s="310" customFormat="1">
      <c r="A89" s="242"/>
      <c r="B89" s="418"/>
      <c r="C89" s="312"/>
      <c r="D89" s="432"/>
      <c r="E89" s="248"/>
      <c r="F89" s="453"/>
    </row>
    <row r="90" spans="1:15" s="310" customFormat="1">
      <c r="A90" s="242"/>
      <c r="B90" s="418"/>
      <c r="C90" s="312"/>
      <c r="D90" s="432"/>
      <c r="E90" s="248"/>
      <c r="F90" s="453"/>
    </row>
    <row r="91" spans="1:15" s="310" customFormat="1">
      <c r="A91" s="1131"/>
      <c r="B91" s="1132"/>
      <c r="C91" s="1133"/>
      <c r="D91" s="1134"/>
      <c r="E91" s="1135"/>
      <c r="F91" s="1136"/>
    </row>
    <row r="92" spans="1:15" s="310" customFormat="1">
      <c r="A92" s="1131"/>
      <c r="B92" s="1132"/>
      <c r="C92" s="1133"/>
      <c r="D92" s="1134"/>
      <c r="E92" s="1135"/>
      <c r="F92" s="1136"/>
    </row>
    <row r="93" spans="1:15" s="310" customFormat="1">
      <c r="A93" s="242"/>
      <c r="B93" s="418"/>
      <c r="C93" s="312"/>
      <c r="D93" s="432"/>
      <c r="E93" s="248"/>
      <c r="F93" s="453"/>
    </row>
    <row r="94" spans="1:15" s="461" customFormat="1">
      <c r="A94" s="311"/>
      <c r="B94" s="458" t="s">
        <v>747</v>
      </c>
      <c r="C94" s="307"/>
      <c r="D94" s="459"/>
      <c r="E94" s="308"/>
      <c r="F94" s="460">
        <f>SUM(F70:F93)</f>
        <v>0</v>
      </c>
    </row>
    <row r="95" spans="1:15">
      <c r="A95" s="61" t="s">
        <v>140</v>
      </c>
      <c r="B95" s="61" t="s">
        <v>286</v>
      </c>
      <c r="C95" s="61" t="s">
        <v>139</v>
      </c>
      <c r="D95" s="62" t="s">
        <v>283</v>
      </c>
      <c r="E95" s="63"/>
      <c r="F95" s="442" t="s">
        <v>287</v>
      </c>
    </row>
    <row r="96" spans="1:15">
      <c r="A96" s="227"/>
      <c r="B96" s="227" t="s">
        <v>760</v>
      </c>
      <c r="C96" s="227"/>
      <c r="D96" s="440"/>
      <c r="E96" s="441"/>
      <c r="F96" s="451">
        <f>F94</f>
        <v>0</v>
      </c>
    </row>
    <row r="97" spans="1:6" s="318" customFormat="1">
      <c r="A97" s="314">
        <v>7.6</v>
      </c>
      <c r="B97" s="315" t="s">
        <v>758</v>
      </c>
      <c r="C97" s="316"/>
      <c r="D97" s="317"/>
      <c r="E97" s="433"/>
      <c r="F97" s="454"/>
    </row>
    <row r="98" spans="1:6" s="318" customFormat="1">
      <c r="A98" s="314"/>
      <c r="B98" s="309" t="s">
        <v>267</v>
      </c>
      <c r="C98" s="319"/>
      <c r="D98" s="317"/>
      <c r="E98" s="433"/>
      <c r="F98" s="454"/>
    </row>
    <row r="99" spans="1:6" s="318" customFormat="1">
      <c r="A99" s="242" t="s">
        <v>759</v>
      </c>
      <c r="B99" s="320" t="s">
        <v>708</v>
      </c>
      <c r="C99" s="319"/>
      <c r="D99" s="314"/>
      <c r="E99" s="314"/>
      <c r="F99" s="455"/>
    </row>
    <row r="100" spans="1:6" s="318" customFormat="1">
      <c r="A100" s="242"/>
      <c r="B100" s="320" t="s">
        <v>268</v>
      </c>
      <c r="C100" s="319"/>
      <c r="D100" s="314"/>
      <c r="E100" s="314"/>
      <c r="F100" s="455"/>
    </row>
    <row r="101" spans="1:6" s="318" customFormat="1">
      <c r="A101" s="242"/>
      <c r="B101" s="320" t="s">
        <v>269</v>
      </c>
      <c r="C101" s="319" t="s">
        <v>3</v>
      </c>
      <c r="D101" s="314">
        <v>7</v>
      </c>
      <c r="E101" s="314"/>
      <c r="F101" s="455">
        <f>E101*D101</f>
        <v>0</v>
      </c>
    </row>
    <row r="102" spans="1:6" s="318" customFormat="1">
      <c r="A102" s="242">
        <v>12.24</v>
      </c>
      <c r="B102" s="321" t="s">
        <v>270</v>
      </c>
      <c r="C102" s="319"/>
      <c r="D102" s="317"/>
      <c r="E102" s="314"/>
      <c r="F102" s="455"/>
    </row>
    <row r="103" spans="1:6" s="318" customFormat="1">
      <c r="A103" s="242"/>
      <c r="B103" s="321" t="s">
        <v>271</v>
      </c>
      <c r="C103" s="319" t="s">
        <v>3</v>
      </c>
      <c r="D103" s="317">
        <f>1.8*4*2</f>
        <v>14.4</v>
      </c>
      <c r="E103" s="314"/>
      <c r="F103" s="455">
        <f>E103*D103</f>
        <v>0</v>
      </c>
    </row>
    <row r="104" spans="1:6" s="318" customFormat="1">
      <c r="A104" s="242">
        <v>12.25</v>
      </c>
      <c r="B104" s="321" t="s">
        <v>272</v>
      </c>
      <c r="C104" s="319"/>
      <c r="D104" s="322"/>
      <c r="E104" s="314"/>
      <c r="F104" s="455"/>
    </row>
    <row r="105" spans="1:6" s="318" customFormat="1">
      <c r="A105" s="242"/>
      <c r="B105" s="321" t="s">
        <v>273</v>
      </c>
      <c r="C105" s="319" t="s">
        <v>2</v>
      </c>
      <c r="D105" s="322">
        <v>2.5</v>
      </c>
      <c r="E105" s="314"/>
      <c r="F105" s="455">
        <f>E105*D105</f>
        <v>0</v>
      </c>
    </row>
    <row r="106" spans="1:6" s="318" customFormat="1">
      <c r="A106" s="242"/>
      <c r="B106" s="309" t="s">
        <v>274</v>
      </c>
      <c r="C106" s="319"/>
      <c r="D106" s="322"/>
      <c r="E106" s="314"/>
      <c r="F106" s="455"/>
    </row>
    <row r="107" spans="1:6" s="318" customFormat="1">
      <c r="A107" s="242">
        <v>12.26</v>
      </c>
      <c r="B107" s="321" t="s">
        <v>275</v>
      </c>
      <c r="C107" s="319" t="s">
        <v>197</v>
      </c>
      <c r="D107" s="322">
        <f>0.7*0.7*0.7</f>
        <v>0.34299999999999992</v>
      </c>
      <c r="E107" s="314"/>
      <c r="F107" s="455">
        <f>E107*D107</f>
        <v>0</v>
      </c>
    </row>
    <row r="108" spans="1:6" s="318" customFormat="1">
      <c r="A108" s="242"/>
      <c r="B108" s="309" t="s">
        <v>0</v>
      </c>
      <c r="C108" s="319"/>
      <c r="D108" s="322"/>
      <c r="E108" s="314"/>
      <c r="F108" s="455"/>
    </row>
    <row r="109" spans="1:6" s="318" customFormat="1">
      <c r="A109" s="242">
        <v>12.27</v>
      </c>
      <c r="B109" s="323" t="s">
        <v>276</v>
      </c>
      <c r="C109" s="319"/>
      <c r="D109" s="317"/>
      <c r="E109" s="314"/>
      <c r="F109" s="455"/>
    </row>
    <row r="110" spans="1:6" s="318" customFormat="1">
      <c r="A110" s="242"/>
      <c r="B110" s="323" t="s">
        <v>1208</v>
      </c>
      <c r="C110" s="319"/>
      <c r="D110" s="317"/>
      <c r="E110" s="314"/>
      <c r="F110" s="455"/>
    </row>
    <row r="111" spans="1:6" s="318" customFormat="1">
      <c r="A111" s="314"/>
      <c r="B111" s="323" t="s">
        <v>277</v>
      </c>
      <c r="C111" s="319" t="s">
        <v>118</v>
      </c>
      <c r="D111" s="317">
        <v>1</v>
      </c>
      <c r="E111" s="314"/>
      <c r="F111" s="455">
        <f>E111*D111</f>
        <v>0</v>
      </c>
    </row>
    <row r="112" spans="1:6" s="318" customFormat="1">
      <c r="A112" s="314"/>
      <c r="B112" s="323"/>
      <c r="C112" s="319"/>
      <c r="D112" s="317"/>
      <c r="E112" s="314"/>
      <c r="F112" s="455"/>
    </row>
    <row r="113" spans="1:6" s="318" customFormat="1">
      <c r="A113" s="314"/>
      <c r="B113" s="309"/>
      <c r="C113" s="232"/>
      <c r="D113" s="434"/>
      <c r="E113" s="312"/>
      <c r="F113" s="456"/>
    </row>
    <row r="114" spans="1:6" s="318" customFormat="1">
      <c r="A114" s="314"/>
      <c r="B114" s="324"/>
      <c r="C114" s="232"/>
      <c r="D114" s="434"/>
      <c r="E114" s="312"/>
      <c r="F114" s="456"/>
    </row>
    <row r="115" spans="1:6" s="318" customFormat="1">
      <c r="A115" s="314"/>
      <c r="B115" s="309" t="s">
        <v>761</v>
      </c>
      <c r="C115" s="232"/>
      <c r="D115" s="434"/>
      <c r="E115" s="312"/>
      <c r="F115" s="456">
        <f>SUM(F96:F114)</f>
        <v>0</v>
      </c>
    </row>
  </sheetData>
  <customSheetViews>
    <customSheetView guid="{58A41188-4CB9-4607-A927-9B98665919B2}" scale="112" showPageBreaks="1" printArea="1" view="pageBreakPreview" topLeftCell="A32">
      <selection activeCell="D9" sqref="D9"/>
      <rowBreaks count="1" manualBreakCount="1">
        <brk id="17" max="16383" man="1"/>
      </rowBreaks>
      <pageMargins left="0.7" right="0.7" top="0.75" bottom="0.75" header="0.3" footer="0.3"/>
      <pageSetup orientation="portrait" r:id="rId1"/>
    </customSheetView>
    <customSheetView guid="{1E933494-4ABB-4290-95BF-88ADDB331983}" scale="112" showPageBreaks="1" printArea="1" view="pageBreakPreview" topLeftCell="A19">
      <selection activeCell="D32" sqref="D32"/>
      <pageMargins left="0.7" right="0.7" top="0.75" bottom="0.75" header="0.3" footer="0.3"/>
      <pageSetup scale="99" orientation="portrait" r:id="rId2"/>
    </customSheetView>
  </customSheetViews>
  <pageMargins left="0.7" right="0.7" top="0.75" bottom="0.75" header="0.3" footer="0.3"/>
  <pageSetup orientation="portrait" r:id="rId3"/>
  <rowBreaks count="1" manualBreakCount="1">
    <brk id="3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view="pageBreakPreview" zoomScale="122" zoomScaleNormal="100" zoomScaleSheetLayoutView="122" workbookViewId="0">
      <pane xSplit="1" ySplit="2" topLeftCell="B85" activePane="bottomRight" state="frozen"/>
      <selection pane="topRight" activeCell="B1" sqref="B1"/>
      <selection pane="bottomLeft" activeCell="A3" sqref="A3"/>
      <selection pane="bottomRight" activeCell="E41" sqref="E41"/>
    </sheetView>
  </sheetViews>
  <sheetFormatPr defaultColWidth="8.88671875" defaultRowHeight="13.2"/>
  <cols>
    <col min="1" max="1" width="5.33203125" style="305" bestFit="1" customWidth="1"/>
    <col min="2" max="2" width="45.33203125" style="306" customWidth="1"/>
    <col min="3" max="3" width="5.33203125" style="305" bestFit="1" customWidth="1"/>
    <col min="4" max="4" width="7.33203125" style="305" bestFit="1" customWidth="1"/>
    <col min="5" max="5" width="9.33203125" style="305" bestFit="1" customWidth="1"/>
    <col min="6" max="6" width="12.33203125" style="470" bestFit="1" customWidth="1"/>
    <col min="7" max="16384" width="8.88671875" style="305"/>
  </cols>
  <sheetData>
    <row r="1" spans="1:6" s="247" customFormat="1" ht="14.4">
      <c r="A1" s="243" t="s">
        <v>82</v>
      </c>
      <c r="B1" s="244" t="s">
        <v>7</v>
      </c>
      <c r="C1" s="243" t="s">
        <v>141</v>
      </c>
      <c r="D1" s="245" t="s">
        <v>469</v>
      </c>
      <c r="E1" s="246" t="s">
        <v>143</v>
      </c>
      <c r="F1" s="1067" t="s">
        <v>165</v>
      </c>
    </row>
    <row r="2" spans="1:6" s="249" customFormat="1" ht="14.4">
      <c r="A2" s="203"/>
      <c r="B2" s="204">
        <f>'1 Preliminaries '!I5</f>
        <v>0</v>
      </c>
      <c r="C2" s="232"/>
      <c r="D2" s="248"/>
      <c r="E2" s="205"/>
      <c r="F2" s="1068"/>
    </row>
    <row r="3" spans="1:6" s="249" customFormat="1" ht="14.4">
      <c r="A3" s="203"/>
      <c r="B3" s="234"/>
      <c r="C3" s="232"/>
      <c r="D3" s="248"/>
      <c r="E3" s="205"/>
      <c r="F3" s="1068"/>
    </row>
    <row r="4" spans="1:6" s="249" customFormat="1" ht="14.4">
      <c r="A4" s="235">
        <v>8</v>
      </c>
      <c r="B4" s="204" t="s">
        <v>672</v>
      </c>
      <c r="C4" s="236"/>
      <c r="D4" s="236"/>
      <c r="E4" s="236"/>
      <c r="F4" s="1069"/>
    </row>
    <row r="5" spans="1:6" s="247" customFormat="1" ht="15.6">
      <c r="A5" s="203"/>
      <c r="B5" s="234" t="s">
        <v>166</v>
      </c>
      <c r="C5" s="250"/>
      <c r="D5" s="253"/>
      <c r="E5" s="253"/>
      <c r="F5" s="1070"/>
    </row>
    <row r="6" spans="1:6" s="247" customFormat="1" ht="15.6">
      <c r="A6" s="203"/>
      <c r="B6" s="260"/>
      <c r="C6" s="250"/>
      <c r="D6" s="253"/>
      <c r="E6" s="253"/>
      <c r="F6" s="1070"/>
    </row>
    <row r="7" spans="1:6" s="247" customFormat="1" ht="21" customHeight="1">
      <c r="A7" s="203">
        <v>8.1</v>
      </c>
      <c r="B7" s="252" t="s">
        <v>167</v>
      </c>
      <c r="C7" s="250"/>
      <c r="D7" s="253"/>
      <c r="E7" s="253"/>
      <c r="F7" s="1070"/>
    </row>
    <row r="8" spans="1:6" s="247" customFormat="1" ht="15.6">
      <c r="A8" s="203"/>
      <c r="B8" s="252" t="s">
        <v>137</v>
      </c>
      <c r="C8" s="250" t="s">
        <v>97</v>
      </c>
      <c r="D8" s="253">
        <f>2*2*1.5</f>
        <v>6</v>
      </c>
      <c r="E8" s="253"/>
      <c r="F8" s="1070">
        <f>E8*D8</f>
        <v>0</v>
      </c>
    </row>
    <row r="9" spans="1:6" s="247" customFormat="1" ht="15.6">
      <c r="A9" s="203"/>
      <c r="B9" s="261" t="s">
        <v>168</v>
      </c>
      <c r="C9" s="250"/>
      <c r="D9" s="253"/>
      <c r="E9" s="253"/>
      <c r="F9" s="1070"/>
    </row>
    <row r="10" spans="1:6" s="247" customFormat="1" ht="15.6">
      <c r="A10" s="203">
        <v>8.1999999999999993</v>
      </c>
      <c r="B10" s="252" t="s">
        <v>169</v>
      </c>
      <c r="C10" s="250" t="s">
        <v>97</v>
      </c>
      <c r="D10" s="253">
        <f>2</f>
        <v>2</v>
      </c>
      <c r="E10" s="253"/>
      <c r="F10" s="1070">
        <f>E10*D10</f>
        <v>0</v>
      </c>
    </row>
    <row r="11" spans="1:6" s="247" customFormat="1" ht="31.2">
      <c r="A11" s="203">
        <v>8.3000000000000007</v>
      </c>
      <c r="B11" s="262" t="s">
        <v>170</v>
      </c>
      <c r="C11" s="250" t="s">
        <v>97</v>
      </c>
      <c r="D11" s="253">
        <v>3</v>
      </c>
      <c r="E11" s="253"/>
      <c r="F11" s="1070">
        <f>E11*D11</f>
        <v>0</v>
      </c>
    </row>
    <row r="12" spans="1:6" s="258" customFormat="1" ht="15.6">
      <c r="A12" s="254"/>
      <c r="B12" s="255" t="s">
        <v>472</v>
      </c>
      <c r="C12" s="256"/>
      <c r="D12" s="257"/>
      <c r="E12" s="257"/>
      <c r="F12" s="1071">
        <f>SUM(F8:F11)</f>
        <v>0</v>
      </c>
    </row>
    <row r="13" spans="1:6" s="247" customFormat="1" ht="15.6">
      <c r="A13" s="203"/>
      <c r="B13" s="259"/>
      <c r="C13" s="250"/>
      <c r="D13" s="253"/>
      <c r="E13" s="253"/>
      <c r="F13" s="1070"/>
    </row>
    <row r="14" spans="1:6" s="247" customFormat="1" ht="15.6">
      <c r="A14" s="203"/>
      <c r="B14" s="234" t="s">
        <v>171</v>
      </c>
      <c r="C14" s="250"/>
      <c r="D14" s="253"/>
      <c r="E14" s="253"/>
      <c r="F14" s="1070"/>
    </row>
    <row r="15" spans="1:6" s="247" customFormat="1" ht="15.6">
      <c r="A15" s="203"/>
      <c r="B15" s="234" t="s">
        <v>111</v>
      </c>
      <c r="C15" s="250"/>
      <c r="D15" s="253"/>
      <c r="E15" s="253"/>
      <c r="F15" s="1070"/>
    </row>
    <row r="16" spans="1:6" s="247" customFormat="1" ht="28.8">
      <c r="A16" s="203"/>
      <c r="B16" s="263" t="s">
        <v>172</v>
      </c>
      <c r="C16" s="250"/>
      <c r="D16" s="253"/>
      <c r="E16" s="253"/>
      <c r="F16" s="1070"/>
    </row>
    <row r="17" spans="1:6" s="247" customFormat="1" ht="28.8">
      <c r="A17" s="203">
        <v>8.4</v>
      </c>
      <c r="B17" s="264" t="s">
        <v>173</v>
      </c>
      <c r="C17" s="250"/>
      <c r="D17" s="253"/>
      <c r="E17" s="253"/>
      <c r="F17" s="1070"/>
    </row>
    <row r="18" spans="1:6" s="247" customFormat="1" ht="28.8">
      <c r="A18" s="203"/>
      <c r="B18" s="264" t="s">
        <v>174</v>
      </c>
      <c r="C18" s="250" t="s">
        <v>97</v>
      </c>
      <c r="D18" s="253">
        <v>1</v>
      </c>
      <c r="E18" s="253"/>
      <c r="F18" s="1070">
        <f>E18*D18</f>
        <v>0</v>
      </c>
    </row>
    <row r="19" spans="1:6" s="247" customFormat="1" ht="28.8">
      <c r="A19" s="203">
        <v>8.5</v>
      </c>
      <c r="B19" s="264" t="s">
        <v>175</v>
      </c>
      <c r="C19" s="250"/>
      <c r="D19" s="253"/>
      <c r="E19" s="253"/>
      <c r="F19" s="1070"/>
    </row>
    <row r="20" spans="1:6" s="247" customFormat="1" ht="28.8">
      <c r="A20" s="203"/>
      <c r="B20" s="264" t="s">
        <v>176</v>
      </c>
      <c r="C20" s="250" t="s">
        <v>97</v>
      </c>
      <c r="D20" s="253">
        <v>2</v>
      </c>
      <c r="E20" s="253"/>
      <c r="F20" s="1070">
        <f>E20*D20</f>
        <v>0</v>
      </c>
    </row>
    <row r="21" spans="1:6" s="247" customFormat="1" ht="28.8">
      <c r="A21" s="203">
        <v>8.6</v>
      </c>
      <c r="B21" s="264" t="s">
        <v>177</v>
      </c>
      <c r="C21" s="250"/>
      <c r="D21" s="253"/>
      <c r="E21" s="253"/>
      <c r="F21" s="1070"/>
    </row>
    <row r="22" spans="1:6" s="247" customFormat="1" ht="15.6">
      <c r="A22" s="203"/>
      <c r="B22" s="264" t="s">
        <v>178</v>
      </c>
      <c r="C22" s="250" t="s">
        <v>97</v>
      </c>
      <c r="D22" s="253">
        <v>2</v>
      </c>
      <c r="E22" s="253"/>
      <c r="F22" s="1070">
        <f>E22*D22</f>
        <v>0</v>
      </c>
    </row>
    <row r="23" spans="1:6" s="247" customFormat="1" ht="28.8">
      <c r="A23" s="203">
        <v>8.6999999999999993</v>
      </c>
      <c r="B23" s="264" t="s">
        <v>179</v>
      </c>
      <c r="C23" s="250"/>
      <c r="D23" s="253"/>
      <c r="E23" s="253"/>
      <c r="F23" s="1070"/>
    </row>
    <row r="24" spans="1:6" s="247" customFormat="1" ht="15.6">
      <c r="A24" s="203"/>
      <c r="B24" s="264" t="s">
        <v>180</v>
      </c>
      <c r="C24" s="250" t="s">
        <v>97</v>
      </c>
      <c r="D24" s="253">
        <v>1</v>
      </c>
      <c r="E24" s="253"/>
      <c r="F24" s="1070">
        <f>E24*D24</f>
        <v>0</v>
      </c>
    </row>
    <row r="25" spans="1:6" s="247" customFormat="1" ht="15.6">
      <c r="A25" s="720"/>
      <c r="B25" s="721"/>
      <c r="C25" s="722"/>
      <c r="D25" s="723"/>
      <c r="E25" s="723"/>
      <c r="F25" s="1072"/>
    </row>
    <row r="26" spans="1:6" s="247" customFormat="1" ht="15.6">
      <c r="A26" s="203"/>
      <c r="B26" s="265" t="s">
        <v>181</v>
      </c>
      <c r="C26" s="250"/>
      <c r="D26" s="253"/>
      <c r="E26" s="253"/>
      <c r="F26" s="1070"/>
    </row>
    <row r="27" spans="1:6" s="247" customFormat="1" ht="43.2">
      <c r="A27" s="203"/>
      <c r="B27" s="266" t="s">
        <v>928</v>
      </c>
      <c r="C27" s="250"/>
      <c r="D27" s="253"/>
      <c r="E27" s="253"/>
      <c r="F27" s="1070"/>
    </row>
    <row r="28" spans="1:6" s="247" customFormat="1" ht="15.6">
      <c r="A28" s="203">
        <v>8.8000000000000007</v>
      </c>
      <c r="B28" s="268" t="s">
        <v>182</v>
      </c>
      <c r="C28" s="250" t="s">
        <v>102</v>
      </c>
      <c r="D28" s="253">
        <f>200</f>
        <v>200</v>
      </c>
      <c r="E28" s="253"/>
      <c r="F28" s="1070">
        <f>E28*D28</f>
        <v>0</v>
      </c>
    </row>
    <row r="29" spans="1:6" s="247" customFormat="1" ht="15.6">
      <c r="A29" s="203"/>
      <c r="B29" s="259"/>
      <c r="C29" s="254"/>
      <c r="D29" s="253"/>
      <c r="E29" s="253"/>
      <c r="F29" s="1070"/>
    </row>
    <row r="30" spans="1:6" s="247" customFormat="1" ht="15.6">
      <c r="A30" s="203"/>
      <c r="B30" s="259" t="s">
        <v>183</v>
      </c>
      <c r="C30" s="254"/>
      <c r="D30" s="253"/>
      <c r="E30" s="253"/>
      <c r="F30" s="1070"/>
    </row>
    <row r="31" spans="1:6" s="247" customFormat="1" ht="15.6">
      <c r="A31" s="203"/>
      <c r="B31" s="259" t="s">
        <v>184</v>
      </c>
      <c r="C31" s="254"/>
      <c r="D31" s="253"/>
      <c r="E31" s="253"/>
      <c r="F31" s="1070"/>
    </row>
    <row r="32" spans="1:6" s="247" customFormat="1" ht="26.4">
      <c r="A32" s="269">
        <v>8.9</v>
      </c>
      <c r="B32" s="270" t="s">
        <v>185</v>
      </c>
      <c r="C32" s="203" t="s">
        <v>2</v>
      </c>
      <c r="D32" s="253">
        <f>4/2</f>
        <v>2</v>
      </c>
      <c r="E32" s="253"/>
      <c r="F32" s="1070">
        <f>E32*D32</f>
        <v>0</v>
      </c>
    </row>
    <row r="33" spans="1:11" s="247" customFormat="1" ht="30.75" customHeight="1">
      <c r="A33" s="269"/>
      <c r="B33" s="271" t="s">
        <v>186</v>
      </c>
      <c r="C33" s="250"/>
      <c r="D33" s="253"/>
      <c r="E33" s="253"/>
      <c r="F33" s="1070"/>
    </row>
    <row r="34" spans="1:11" s="247" customFormat="1" ht="15.6">
      <c r="A34" s="269">
        <v>8.1</v>
      </c>
      <c r="B34" s="252" t="s">
        <v>187</v>
      </c>
      <c r="C34" s="250" t="s">
        <v>2</v>
      </c>
      <c r="D34" s="253">
        <f>32/2</f>
        <v>16</v>
      </c>
      <c r="E34" s="253"/>
      <c r="F34" s="1070">
        <f>E34*D34</f>
        <v>0</v>
      </c>
    </row>
    <row r="35" spans="1:11" s="247" customFormat="1" ht="15.6">
      <c r="A35" s="269">
        <v>8.11</v>
      </c>
      <c r="B35" s="252" t="s">
        <v>188</v>
      </c>
      <c r="C35" s="250" t="s">
        <v>2</v>
      </c>
      <c r="D35" s="253">
        <f>10/2</f>
        <v>5</v>
      </c>
      <c r="E35" s="253"/>
      <c r="F35" s="1070">
        <f>E35*D35</f>
        <v>0</v>
      </c>
    </row>
    <row r="36" spans="1:11" s="247" customFormat="1" ht="15.6">
      <c r="A36" s="269">
        <v>8.1199999999999992</v>
      </c>
      <c r="B36" s="252" t="s">
        <v>189</v>
      </c>
      <c r="C36" s="250" t="s">
        <v>2</v>
      </c>
      <c r="D36" s="253">
        <f>5/2</f>
        <v>2.5</v>
      </c>
      <c r="E36" s="253"/>
      <c r="F36" s="1070">
        <f>D36*E36</f>
        <v>0</v>
      </c>
    </row>
    <row r="37" spans="1:11" s="247" customFormat="1" ht="15.6">
      <c r="A37" s="269">
        <v>8.1300000000000008</v>
      </c>
      <c r="B37" s="272" t="s">
        <v>190</v>
      </c>
      <c r="C37" s="203" t="s">
        <v>2</v>
      </c>
      <c r="D37" s="253">
        <f>13/2</f>
        <v>6.5</v>
      </c>
      <c r="E37" s="253"/>
      <c r="F37" s="1070">
        <f>E37*D37</f>
        <v>0</v>
      </c>
    </row>
    <row r="38" spans="1:11" s="247" customFormat="1" ht="15.6">
      <c r="A38" s="269">
        <v>8.14</v>
      </c>
      <c r="B38" s="272" t="s">
        <v>191</v>
      </c>
      <c r="C38" s="203" t="s">
        <v>2</v>
      </c>
      <c r="D38" s="253">
        <f>80/2</f>
        <v>40</v>
      </c>
      <c r="E38" s="253"/>
      <c r="F38" s="1070">
        <f>E38*D38</f>
        <v>0</v>
      </c>
    </row>
    <row r="39" spans="1:11" s="258" customFormat="1" ht="15.6">
      <c r="A39" s="273"/>
      <c r="B39" s="255" t="s">
        <v>472</v>
      </c>
      <c r="C39" s="256"/>
      <c r="D39" s="256"/>
      <c r="E39" s="254"/>
      <c r="F39" s="1071">
        <f>SUM(F17:F38)</f>
        <v>0</v>
      </c>
    </row>
    <row r="40" spans="1:11" s="258" customFormat="1" ht="15.6">
      <c r="A40" s="1137"/>
      <c r="B40" s="1138"/>
      <c r="C40" s="1139"/>
      <c r="D40" s="1139"/>
      <c r="E40" s="1140"/>
      <c r="F40" s="1141"/>
    </row>
    <row r="41" spans="1:11" s="247" customFormat="1" ht="14.4">
      <c r="A41" s="243" t="s">
        <v>82</v>
      </c>
      <c r="B41" s="244" t="s">
        <v>7</v>
      </c>
      <c r="C41" s="243" t="s">
        <v>141</v>
      </c>
      <c r="D41" s="245" t="s">
        <v>469</v>
      </c>
      <c r="E41" s="246" t="s">
        <v>143</v>
      </c>
      <c r="F41" s="1067" t="s">
        <v>165</v>
      </c>
    </row>
    <row r="42" spans="1:11" s="247" customFormat="1" ht="14.4">
      <c r="A42" s="269"/>
      <c r="B42" s="234" t="s">
        <v>192</v>
      </c>
      <c r="C42" s="250"/>
      <c r="D42" s="250"/>
      <c r="E42" s="203"/>
      <c r="F42" s="1073"/>
    </row>
    <row r="43" spans="1:11" s="247" customFormat="1" ht="14.4">
      <c r="A43" s="269"/>
      <c r="B43" s="234"/>
      <c r="C43" s="250"/>
      <c r="D43" s="250"/>
      <c r="E43" s="203"/>
      <c r="F43" s="1073"/>
    </row>
    <row r="44" spans="1:11" s="247" customFormat="1" ht="14.4">
      <c r="A44" s="269"/>
      <c r="B44" s="234" t="s">
        <v>103</v>
      </c>
      <c r="C44" s="250"/>
      <c r="D44" s="250"/>
      <c r="E44" s="203"/>
      <c r="F44" s="1073"/>
    </row>
    <row r="45" spans="1:11" s="247" customFormat="1" ht="14.4">
      <c r="A45" s="269"/>
      <c r="B45" s="266" t="s">
        <v>193</v>
      </c>
      <c r="C45" s="250"/>
      <c r="D45" s="250"/>
      <c r="E45" s="203"/>
      <c r="F45" s="1073"/>
    </row>
    <row r="46" spans="1:11" s="247" customFormat="1" ht="28.8">
      <c r="A46" s="269"/>
      <c r="B46" s="267" t="s">
        <v>194</v>
      </c>
      <c r="C46" s="250"/>
      <c r="D46" s="250"/>
      <c r="E46" s="203"/>
      <c r="F46" s="1073"/>
    </row>
    <row r="47" spans="1:11" s="247" customFormat="1" ht="15.6">
      <c r="A47" s="269"/>
      <c r="B47" s="267" t="s">
        <v>106</v>
      </c>
      <c r="C47" s="250"/>
      <c r="D47" s="250"/>
      <c r="E47" s="203"/>
      <c r="F47" s="1070"/>
    </row>
    <row r="48" spans="1:11" s="247" customFormat="1" ht="15.6">
      <c r="A48" s="269">
        <v>8.16</v>
      </c>
      <c r="B48" s="275" t="s">
        <v>195</v>
      </c>
      <c r="C48" s="250"/>
      <c r="D48" s="253"/>
      <c r="E48" s="253"/>
      <c r="F48" s="1070"/>
      <c r="H48" s="274"/>
      <c r="I48" s="274"/>
      <c r="J48" s="274"/>
      <c r="K48" s="274"/>
    </row>
    <row r="49" spans="1:11" s="247" customFormat="1" ht="15.6">
      <c r="A49" s="269"/>
      <c r="B49" s="275" t="s">
        <v>196</v>
      </c>
      <c r="C49" s="250" t="s">
        <v>197</v>
      </c>
      <c r="D49" s="253">
        <v>1.68</v>
      </c>
      <c r="E49" s="253"/>
      <c r="F49" s="1070">
        <f>E49*D49</f>
        <v>0</v>
      </c>
      <c r="H49" s="274"/>
      <c r="I49" s="274"/>
      <c r="J49" s="274"/>
      <c r="K49" s="274"/>
    </row>
    <row r="50" spans="1:11" s="247" customFormat="1" ht="15.6">
      <c r="A50" s="269">
        <v>8.17</v>
      </c>
      <c r="B50" s="275">
        <v>7</v>
      </c>
      <c r="C50" s="250" t="s">
        <v>163</v>
      </c>
      <c r="D50" s="253">
        <v>150</v>
      </c>
      <c r="E50" s="253"/>
      <c r="F50" s="1070">
        <f>E50*D50</f>
        <v>0</v>
      </c>
      <c r="H50" s="274"/>
      <c r="I50" s="274"/>
      <c r="J50" s="274"/>
      <c r="K50" s="274"/>
    </row>
    <row r="51" spans="1:11" s="247" customFormat="1" ht="15.6">
      <c r="A51" s="269"/>
      <c r="B51" s="275"/>
      <c r="C51" s="250"/>
      <c r="D51" s="203"/>
      <c r="E51" s="203"/>
      <c r="F51" s="1070"/>
      <c r="H51" s="274"/>
      <c r="I51" s="274"/>
      <c r="J51" s="274"/>
      <c r="K51" s="274"/>
    </row>
    <row r="52" spans="1:11" s="258" customFormat="1" ht="15.6">
      <c r="A52" s="273"/>
      <c r="B52" s="255" t="s">
        <v>472</v>
      </c>
      <c r="C52" s="256"/>
      <c r="D52" s="276"/>
      <c r="E52" s="254"/>
      <c r="F52" s="1071">
        <f>F49+F50</f>
        <v>0</v>
      </c>
      <c r="H52" s="277"/>
      <c r="I52" s="277"/>
      <c r="J52" s="277"/>
      <c r="K52" s="277"/>
    </row>
    <row r="53" spans="1:11" s="247" customFormat="1" ht="15.6">
      <c r="A53" s="269"/>
      <c r="B53" s="259"/>
      <c r="C53" s="250"/>
      <c r="D53" s="278"/>
      <c r="E53" s="203"/>
      <c r="F53" s="1070"/>
      <c r="H53" s="274"/>
      <c r="I53" s="274"/>
      <c r="J53" s="274"/>
      <c r="K53" s="274"/>
    </row>
    <row r="54" spans="1:11" s="247" customFormat="1" ht="15.6">
      <c r="A54" s="269"/>
      <c r="B54" s="234" t="s">
        <v>198</v>
      </c>
      <c r="C54" s="250"/>
      <c r="D54" s="278"/>
      <c r="E54" s="203"/>
      <c r="F54" s="1070"/>
    </row>
    <row r="55" spans="1:11" s="247" customFormat="1" ht="14.4">
      <c r="A55" s="269"/>
      <c r="B55" s="234" t="s">
        <v>0</v>
      </c>
      <c r="C55" s="250"/>
      <c r="D55" s="278"/>
      <c r="E55" s="203"/>
      <c r="F55" s="1073"/>
    </row>
    <row r="56" spans="1:11" s="247" customFormat="1" ht="15.6">
      <c r="A56" s="279"/>
      <c r="B56" s="267" t="s">
        <v>199</v>
      </c>
      <c r="C56" s="280"/>
      <c r="D56" s="281"/>
      <c r="E56" s="281"/>
      <c r="F56" s="1070"/>
    </row>
    <row r="57" spans="1:11" s="247" customFormat="1" ht="15.6">
      <c r="A57" s="279"/>
      <c r="B57" s="234" t="s">
        <v>200</v>
      </c>
      <c r="C57" s="280"/>
      <c r="D57" s="281"/>
      <c r="E57" s="281"/>
      <c r="F57" s="1070">
        <f t="shared" ref="F57" si="0">C57*E57</f>
        <v>0</v>
      </c>
    </row>
    <row r="58" spans="1:11" s="247" customFormat="1" ht="15.6">
      <c r="A58" s="279"/>
      <c r="B58" s="234" t="s">
        <v>201</v>
      </c>
      <c r="C58" s="280"/>
      <c r="D58" s="281"/>
      <c r="E58" s="281"/>
      <c r="F58" s="1070"/>
    </row>
    <row r="59" spans="1:11" s="247" customFormat="1" ht="15.6">
      <c r="A59" s="279"/>
      <c r="B59" s="234" t="s">
        <v>202</v>
      </c>
      <c r="C59" s="280"/>
      <c r="D59" s="281"/>
      <c r="E59" s="281"/>
      <c r="F59" s="1070"/>
    </row>
    <row r="60" spans="1:11" s="247" customFormat="1" ht="15.6">
      <c r="A60" s="279"/>
      <c r="B60" s="234" t="s">
        <v>203</v>
      </c>
      <c r="C60" s="280"/>
      <c r="D60" s="281"/>
      <c r="E60" s="281"/>
      <c r="F60" s="1070"/>
    </row>
    <row r="61" spans="1:11" s="247" customFormat="1" ht="15.6">
      <c r="A61" s="279">
        <v>8.18</v>
      </c>
      <c r="B61" s="282" t="s">
        <v>204</v>
      </c>
      <c r="C61" s="280" t="s">
        <v>2</v>
      </c>
      <c r="D61" s="253">
        <v>20</v>
      </c>
      <c r="E61" s="253"/>
      <c r="F61" s="1070">
        <f>E61*D61</f>
        <v>0</v>
      </c>
    </row>
    <row r="62" spans="1:11" s="247" customFormat="1" ht="15.6">
      <c r="A62" s="279"/>
      <c r="B62" s="283" t="s">
        <v>205</v>
      </c>
      <c r="C62" s="280"/>
      <c r="D62" s="253"/>
      <c r="E62" s="253"/>
      <c r="F62" s="1070"/>
    </row>
    <row r="63" spans="1:11" s="247" customFormat="1" ht="15.6">
      <c r="A63" s="279"/>
      <c r="B63" s="284" t="s">
        <v>206</v>
      </c>
      <c r="C63" s="280"/>
      <c r="D63" s="253"/>
      <c r="E63" s="253"/>
      <c r="F63" s="1070"/>
    </row>
    <row r="64" spans="1:11" s="247" customFormat="1" ht="15.6">
      <c r="A64" s="279"/>
      <c r="B64" s="284" t="s">
        <v>207</v>
      </c>
      <c r="C64" s="280"/>
      <c r="D64" s="253"/>
      <c r="E64" s="253"/>
      <c r="F64" s="1070"/>
    </row>
    <row r="65" spans="1:6" s="247" customFormat="1" ht="15.6">
      <c r="A65" s="279">
        <v>8.19</v>
      </c>
      <c r="B65" s="282" t="s">
        <v>208</v>
      </c>
      <c r="C65" s="280" t="str">
        <f>C61</f>
        <v>SM</v>
      </c>
      <c r="D65" s="253">
        <f>D61</f>
        <v>20</v>
      </c>
      <c r="E65" s="253"/>
      <c r="F65" s="1070">
        <f>E65*D65</f>
        <v>0</v>
      </c>
    </row>
    <row r="66" spans="1:6" s="247" customFormat="1" ht="15.6">
      <c r="A66" s="285"/>
      <c r="B66" s="286" t="s">
        <v>209</v>
      </c>
      <c r="C66" s="287"/>
      <c r="D66" s="253"/>
      <c r="E66" s="253"/>
      <c r="F66" s="1070"/>
    </row>
    <row r="67" spans="1:6" s="247" customFormat="1" ht="15.6">
      <c r="A67" s="285"/>
      <c r="B67" s="286" t="s">
        <v>210</v>
      </c>
      <c r="C67" s="287"/>
      <c r="D67" s="253"/>
      <c r="E67" s="253"/>
      <c r="F67" s="1070"/>
    </row>
    <row r="68" spans="1:6" s="247" customFormat="1" ht="15.6">
      <c r="A68" s="285"/>
      <c r="B68" s="288" t="s">
        <v>211</v>
      </c>
      <c r="C68" s="287"/>
      <c r="D68" s="253"/>
      <c r="E68" s="253"/>
      <c r="F68" s="1070"/>
    </row>
    <row r="69" spans="1:6" s="247" customFormat="1" ht="15.6">
      <c r="A69" s="285">
        <v>8.1999999999999993</v>
      </c>
      <c r="B69" s="262" t="s">
        <v>212</v>
      </c>
      <c r="C69" s="281" t="s">
        <v>2</v>
      </c>
      <c r="D69" s="253">
        <v>4</v>
      </c>
      <c r="E69" s="253"/>
      <c r="F69" s="1070">
        <f>E69*D69</f>
        <v>0</v>
      </c>
    </row>
    <row r="70" spans="1:6" s="247" customFormat="1" ht="18.600000000000001" customHeight="1">
      <c r="A70" s="285"/>
      <c r="B70" s="262" t="s">
        <v>213</v>
      </c>
      <c r="C70" s="287"/>
      <c r="D70" s="253"/>
      <c r="E70" s="253"/>
      <c r="F70" s="1070"/>
    </row>
    <row r="71" spans="1:6" s="247" customFormat="1" ht="15.6">
      <c r="A71" s="285"/>
      <c r="B71" s="262" t="s">
        <v>214</v>
      </c>
      <c r="C71" s="287"/>
      <c r="D71" s="253"/>
      <c r="E71" s="253"/>
      <c r="F71" s="1070"/>
    </row>
    <row r="72" spans="1:6" s="258" customFormat="1" ht="15.6">
      <c r="A72" s="273"/>
      <c r="B72" s="255" t="s">
        <v>472</v>
      </c>
      <c r="C72" s="256"/>
      <c r="D72" s="257"/>
      <c r="E72" s="257"/>
      <c r="F72" s="1071">
        <f>F61+F65+F69</f>
        <v>0</v>
      </c>
    </row>
    <row r="73" spans="1:6" s="247" customFormat="1" ht="14.4">
      <c r="A73" s="269"/>
      <c r="B73" s="234" t="s">
        <v>215</v>
      </c>
      <c r="C73" s="250"/>
      <c r="D73" s="250"/>
      <c r="E73" s="203"/>
      <c r="F73" s="1073"/>
    </row>
    <row r="74" spans="1:6" s="247" customFormat="1" ht="14.4">
      <c r="A74" s="269"/>
      <c r="B74" s="234" t="s">
        <v>216</v>
      </c>
      <c r="C74" s="250"/>
      <c r="D74" s="250"/>
      <c r="E74" s="203"/>
      <c r="F74" s="1073"/>
    </row>
    <row r="75" spans="1:6" s="247" customFormat="1" ht="31.2">
      <c r="A75" s="269">
        <v>8.2100000000000009</v>
      </c>
      <c r="B75" s="262" t="s">
        <v>217</v>
      </c>
      <c r="C75" s="250"/>
      <c r="D75" s="250"/>
      <c r="E75" s="203"/>
      <c r="F75" s="1073"/>
    </row>
    <row r="76" spans="1:6" s="247" customFormat="1" ht="15.6">
      <c r="A76" s="269"/>
      <c r="B76" s="262" t="s">
        <v>218</v>
      </c>
      <c r="C76" s="250" t="s">
        <v>118</v>
      </c>
      <c r="D76" s="253">
        <v>1</v>
      </c>
      <c r="E76" s="253"/>
      <c r="F76" s="1070">
        <f>E76*D76</f>
        <v>0</v>
      </c>
    </row>
    <row r="77" spans="1:6" s="247" customFormat="1" ht="15.6">
      <c r="A77" s="269"/>
      <c r="B77" s="262" t="s">
        <v>219</v>
      </c>
      <c r="C77" s="250"/>
      <c r="D77" s="253"/>
      <c r="E77" s="253"/>
      <c r="F77" s="1070"/>
    </row>
    <row r="78" spans="1:6" s="247" customFormat="1" ht="15.6">
      <c r="A78" s="269"/>
      <c r="B78" s="290" t="s">
        <v>472</v>
      </c>
      <c r="C78" s="250"/>
      <c r="D78" s="253"/>
      <c r="E78" s="253"/>
      <c r="F78" s="1071">
        <f>F76</f>
        <v>0</v>
      </c>
    </row>
    <row r="79" spans="1:6" s="247" customFormat="1" ht="14.4">
      <c r="A79" s="269"/>
      <c r="B79" s="259"/>
      <c r="C79" s="250"/>
      <c r="D79" s="250"/>
      <c r="E79" s="203"/>
      <c r="F79" s="1073"/>
    </row>
    <row r="80" spans="1:6" s="247" customFormat="1" ht="14.4">
      <c r="A80" s="269"/>
      <c r="B80" s="234" t="s">
        <v>220</v>
      </c>
      <c r="C80" s="250"/>
      <c r="D80" s="233"/>
      <c r="E80" s="203"/>
      <c r="F80" s="1073"/>
    </row>
    <row r="81" spans="1:9" s="247" customFormat="1" ht="14.4">
      <c r="A81" s="269"/>
      <c r="B81" s="234"/>
      <c r="C81" s="250"/>
      <c r="D81" s="233"/>
      <c r="E81" s="203"/>
      <c r="F81" s="1073"/>
    </row>
    <row r="82" spans="1:9" s="247" customFormat="1" ht="14.4">
      <c r="A82" s="269"/>
      <c r="B82" s="234" t="s">
        <v>221</v>
      </c>
      <c r="C82" s="250"/>
      <c r="D82" s="233"/>
      <c r="E82" s="203"/>
      <c r="F82" s="1073"/>
    </row>
    <row r="83" spans="1:9" s="247" customFormat="1" ht="15.6">
      <c r="A83" s="269"/>
      <c r="B83" s="264"/>
      <c r="C83" s="250"/>
      <c r="D83" s="253"/>
      <c r="E83" s="253"/>
      <c r="F83" s="1070"/>
    </row>
    <row r="84" spans="1:9" s="247" customFormat="1" ht="28.8">
      <c r="A84" s="269">
        <v>8.2200000000000006</v>
      </c>
      <c r="B84" s="289" t="s">
        <v>222</v>
      </c>
      <c r="C84" s="250"/>
      <c r="D84" s="253"/>
      <c r="E84" s="253"/>
      <c r="F84" s="1070"/>
    </row>
    <row r="85" spans="1:9" s="247" customFormat="1" ht="15.6">
      <c r="A85" s="269"/>
      <c r="B85" s="289" t="s">
        <v>223</v>
      </c>
      <c r="C85" s="291" t="s">
        <v>4</v>
      </c>
      <c r="D85" s="253">
        <v>4</v>
      </c>
      <c r="E85" s="253"/>
      <c r="F85" s="1070">
        <f>E85*D85</f>
        <v>0</v>
      </c>
    </row>
    <row r="86" spans="1:9" s="247" customFormat="1" ht="15.6">
      <c r="A86" s="269"/>
      <c r="B86" s="251"/>
      <c r="C86" s="250"/>
      <c r="D86" s="253"/>
      <c r="E86" s="253"/>
      <c r="F86" s="1070"/>
    </row>
    <row r="87" spans="1:9" s="247" customFormat="1" ht="15.6">
      <c r="A87" s="269"/>
      <c r="B87" s="290" t="s">
        <v>472</v>
      </c>
      <c r="C87" s="250"/>
      <c r="D87" s="253"/>
      <c r="E87" s="253"/>
      <c r="F87" s="1071">
        <f>F85</f>
        <v>0</v>
      </c>
    </row>
    <row r="88" spans="1:9" s="247" customFormat="1" ht="15.6">
      <c r="A88" s="269"/>
      <c r="B88" s="284" t="s">
        <v>473</v>
      </c>
      <c r="C88" s="292"/>
      <c r="D88" s="293"/>
      <c r="E88" s="281"/>
      <c r="F88" s="1070"/>
      <c r="G88" s="294"/>
      <c r="H88" s="295"/>
      <c r="I88" s="274"/>
    </row>
    <row r="89" spans="1:9" s="247" customFormat="1" ht="15.6">
      <c r="A89" s="269"/>
      <c r="B89" s="284"/>
      <c r="C89" s="292"/>
      <c r="D89" s="293"/>
      <c r="E89" s="281"/>
      <c r="F89" s="1070"/>
      <c r="G89" s="294"/>
      <c r="H89" s="295"/>
      <c r="I89" s="274"/>
    </row>
    <row r="90" spans="1:9" s="247" customFormat="1" ht="15.6">
      <c r="A90" s="269"/>
      <c r="B90" s="284"/>
      <c r="C90" s="292"/>
      <c r="D90" s="296"/>
      <c r="E90" s="281"/>
      <c r="F90" s="1070"/>
      <c r="G90" s="294"/>
      <c r="H90" s="295"/>
      <c r="I90" s="274"/>
    </row>
    <row r="91" spans="1:9" s="247" customFormat="1" ht="15.6">
      <c r="A91" s="269"/>
      <c r="B91" s="284" t="s">
        <v>474</v>
      </c>
      <c r="C91" s="281"/>
      <c r="D91" s="297" t="s">
        <v>1</v>
      </c>
      <c r="E91" s="298"/>
      <c r="F91" s="1074" t="s">
        <v>144</v>
      </c>
      <c r="G91" s="274"/>
      <c r="H91" s="274"/>
      <c r="I91" s="274"/>
    </row>
    <row r="92" spans="1:9" s="247" customFormat="1" ht="15.6">
      <c r="A92" s="269"/>
      <c r="B92" s="299"/>
      <c r="C92" s="281"/>
      <c r="D92" s="300"/>
      <c r="E92" s="298"/>
      <c r="F92" s="1070"/>
      <c r="G92" s="274"/>
      <c r="H92" s="274"/>
      <c r="I92" s="274"/>
    </row>
    <row r="93" spans="1:9" s="247" customFormat="1" ht="15.6">
      <c r="A93" s="269"/>
      <c r="B93" s="284"/>
      <c r="C93" s="281"/>
      <c r="D93" s="300"/>
      <c r="E93" s="298"/>
      <c r="F93" s="1070"/>
      <c r="G93" s="274"/>
      <c r="H93" s="274"/>
      <c r="I93" s="274"/>
    </row>
    <row r="94" spans="1:9" s="247" customFormat="1" ht="15.6">
      <c r="A94" s="269"/>
      <c r="B94" s="301">
        <v>2</v>
      </c>
      <c r="C94" s="281"/>
      <c r="D94" s="302" t="s">
        <v>475</v>
      </c>
      <c r="E94" s="303"/>
      <c r="F94" s="1070">
        <f>F12</f>
        <v>0</v>
      </c>
      <c r="G94" s="274"/>
      <c r="H94" s="274"/>
      <c r="I94" s="274"/>
    </row>
    <row r="95" spans="1:9" s="247" customFormat="1" ht="15.6">
      <c r="A95" s="269"/>
      <c r="B95" s="301"/>
      <c r="C95" s="281"/>
      <c r="D95" s="302"/>
      <c r="E95" s="303"/>
      <c r="F95" s="1070"/>
      <c r="G95" s="274"/>
      <c r="H95" s="274"/>
      <c r="I95" s="274"/>
    </row>
    <row r="96" spans="1:9" s="247" customFormat="1" ht="15.6">
      <c r="A96" s="269"/>
      <c r="B96" s="301">
        <v>3</v>
      </c>
      <c r="C96" s="203"/>
      <c r="D96" s="302" t="s">
        <v>476</v>
      </c>
      <c r="E96" s="203"/>
      <c r="F96" s="1070">
        <f>F39</f>
        <v>0</v>
      </c>
    </row>
    <row r="97" spans="1:6" s="247" customFormat="1" ht="15.6">
      <c r="A97" s="269"/>
      <c r="B97" s="260"/>
      <c r="C97" s="203"/>
      <c r="D97" s="250"/>
      <c r="E97" s="203"/>
      <c r="F97" s="1070"/>
    </row>
    <row r="98" spans="1:6" s="247" customFormat="1" ht="15.6">
      <c r="A98" s="269"/>
      <c r="B98" s="301">
        <v>4</v>
      </c>
      <c r="C98" s="203"/>
      <c r="D98" s="302" t="s">
        <v>477</v>
      </c>
      <c r="E98" s="203"/>
      <c r="F98" s="1070">
        <f>F52</f>
        <v>0</v>
      </c>
    </row>
    <row r="99" spans="1:6" s="247" customFormat="1" ht="15.6">
      <c r="A99" s="269"/>
      <c r="B99" s="301"/>
      <c r="C99" s="203"/>
      <c r="D99" s="250"/>
      <c r="E99" s="203"/>
      <c r="F99" s="1070"/>
    </row>
    <row r="100" spans="1:6" s="247" customFormat="1" ht="15.6">
      <c r="A100" s="269"/>
      <c r="B100" s="301">
        <v>5</v>
      </c>
      <c r="C100" s="203"/>
      <c r="D100" s="302" t="s">
        <v>478</v>
      </c>
      <c r="E100" s="203"/>
      <c r="F100" s="1070">
        <f>F72</f>
        <v>0</v>
      </c>
    </row>
    <row r="101" spans="1:6" s="247" customFormat="1" ht="15.6">
      <c r="A101" s="269"/>
      <c r="B101" s="301"/>
      <c r="C101" s="203"/>
      <c r="D101" s="250"/>
      <c r="E101" s="203"/>
      <c r="F101" s="1070"/>
    </row>
    <row r="102" spans="1:6" s="247" customFormat="1" ht="15.6">
      <c r="A102" s="269"/>
      <c r="B102" s="301">
        <v>6</v>
      </c>
      <c r="C102" s="203"/>
      <c r="D102" s="302" t="s">
        <v>479</v>
      </c>
      <c r="E102" s="203"/>
      <c r="F102" s="1070">
        <f>F78</f>
        <v>0</v>
      </c>
    </row>
    <row r="103" spans="1:6" s="247" customFormat="1" ht="15.6">
      <c r="A103" s="269"/>
      <c r="B103" s="301"/>
      <c r="C103" s="203"/>
      <c r="D103" s="250"/>
      <c r="E103" s="203"/>
      <c r="F103" s="1070"/>
    </row>
    <row r="104" spans="1:6" s="247" customFormat="1" ht="15.6">
      <c r="A104" s="269"/>
      <c r="B104" s="301">
        <v>8</v>
      </c>
      <c r="C104" s="203"/>
      <c r="D104" s="302" t="s">
        <v>480</v>
      </c>
      <c r="E104" s="203"/>
      <c r="F104" s="1070">
        <f>F87</f>
        <v>0</v>
      </c>
    </row>
    <row r="105" spans="1:6" s="247" customFormat="1" ht="15.6">
      <c r="A105" s="269"/>
      <c r="B105" s="301"/>
      <c r="C105" s="203"/>
      <c r="D105" s="250"/>
      <c r="E105" s="203"/>
      <c r="F105" s="1075"/>
    </row>
    <row r="106" spans="1:6" s="247" customFormat="1" ht="15.6">
      <c r="A106" s="269"/>
      <c r="B106" s="301"/>
      <c r="C106" s="203"/>
      <c r="D106" s="250"/>
      <c r="E106" s="203"/>
      <c r="F106" s="1075"/>
    </row>
    <row r="107" spans="1:6" s="247" customFormat="1" ht="15.6">
      <c r="A107" s="203"/>
      <c r="B107" s="301"/>
      <c r="C107" s="203"/>
      <c r="D107" s="250"/>
      <c r="E107" s="203"/>
      <c r="F107" s="1075"/>
    </row>
    <row r="108" spans="1:6" s="247" customFormat="1" ht="15.6">
      <c r="A108" s="203"/>
      <c r="B108" s="304" t="s">
        <v>471</v>
      </c>
      <c r="C108" s="203"/>
      <c r="D108" s="250"/>
      <c r="E108" s="203"/>
      <c r="F108" s="1071">
        <f>SUM(F94:F107)</f>
        <v>0</v>
      </c>
    </row>
    <row r="109" spans="1:6" s="247" customFormat="1" ht="15.6">
      <c r="A109" s="203"/>
      <c r="B109" s="260"/>
      <c r="C109" s="203"/>
      <c r="D109" s="250"/>
      <c r="E109" s="203"/>
      <c r="F109" s="1071"/>
    </row>
    <row r="110" spans="1:6" s="247" customFormat="1" ht="15.6">
      <c r="A110" s="203"/>
      <c r="B110" s="259" t="s">
        <v>927</v>
      </c>
      <c r="C110" s="203"/>
      <c r="D110" s="250"/>
      <c r="E110" s="203"/>
      <c r="F110" s="1071">
        <f>F108*3</f>
        <v>0</v>
      </c>
    </row>
  </sheetData>
  <customSheetViews>
    <customSheetView guid="{58A41188-4CB9-4607-A927-9B98665919B2}" scale="122" showPageBreaks="1" printArea="1" view="pageBreakPreview" topLeftCell="A78">
      <selection activeCell="B13" sqref="B13"/>
      <rowBreaks count="2" manualBreakCount="2">
        <brk id="43" max="5" man="1"/>
        <brk id="181" max="5" man="1"/>
      </rowBreaks>
      <pageMargins left="0.7" right="0.7" top="0.75" bottom="0.75" header="0.3" footer="0.3"/>
      <pageSetup paperSize="9" orientation="portrait" r:id="rId1"/>
    </customSheetView>
    <customSheetView guid="{1E933494-4ABB-4290-95BF-88ADDB331983}" scale="122" showPageBreaks="1" printArea="1" view="pageBreakPreview">
      <pane xSplit="2" ySplit="1" topLeftCell="C2" activePane="bottomRight" state="frozen"/>
      <selection pane="bottomRight" activeCell="B7" sqref="B7"/>
      <pageMargins left="0.7" right="0.7" top="0.75" bottom="0.75" header="0.3" footer="0.3"/>
      <pageSetup paperSize="9" orientation="portrait" r:id="rId2"/>
    </customSheetView>
  </customSheetViews>
  <conditionalFormatting sqref="F33:F35">
    <cfRule type="cellIs" dxfId="0" priority="1" stopIfTrue="1" operator="equal">
      <formula>0</formula>
    </cfRule>
  </conditionalFormatting>
  <pageMargins left="0.7" right="0.7" top="0.75" bottom="0.75" header="0.3" footer="0.3"/>
  <pageSetup paperSize="9" orientation="portrait" r:id="rId3"/>
  <rowBreaks count="2" manualBreakCount="2">
    <brk id="87" max="5" man="1"/>
    <brk id="13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5"/>
  <sheetViews>
    <sheetView view="pageBreakPreview" zoomScale="107" zoomScaleNormal="100" zoomScaleSheetLayoutView="107" workbookViewId="0">
      <selection activeCell="E1" sqref="E1"/>
    </sheetView>
  </sheetViews>
  <sheetFormatPr defaultColWidth="9.109375" defaultRowHeight="14.4"/>
  <cols>
    <col min="1" max="1" width="5.33203125" style="21" bestFit="1" customWidth="1"/>
    <col min="2" max="2" width="47.33203125" style="22" customWidth="1"/>
    <col min="3" max="3" width="5.33203125" style="25" bestFit="1" customWidth="1"/>
    <col min="4" max="4" width="5.6640625" style="26" bestFit="1" customWidth="1"/>
    <col min="5" max="5" width="9.6640625" style="23" customWidth="1"/>
    <col min="6" max="6" width="13.6640625" style="1083" bestFit="1" customWidth="1"/>
    <col min="7" max="7" width="15.109375" style="14" bestFit="1" customWidth="1"/>
    <col min="8" max="16384" width="9.109375" style="15"/>
  </cols>
  <sheetData>
    <row r="1" spans="1:8" s="8" customFormat="1" ht="28.8">
      <c r="A1" s="207" t="s">
        <v>6</v>
      </c>
      <c r="B1" s="207" t="s">
        <v>7</v>
      </c>
      <c r="C1" s="207" t="s">
        <v>8</v>
      </c>
      <c r="D1" s="353" t="s">
        <v>142</v>
      </c>
      <c r="E1" s="354" t="s">
        <v>143</v>
      </c>
      <c r="F1" s="1076" t="s">
        <v>93</v>
      </c>
    </row>
    <row r="2" spans="1:8" s="10" customFormat="1">
      <c r="A2" s="206"/>
      <c r="B2" s="355"/>
      <c r="C2" s="210"/>
      <c r="D2" s="209"/>
      <c r="E2" s="356"/>
      <c r="F2" s="1077"/>
      <c r="G2" s="9"/>
    </row>
    <row r="3" spans="1:8" s="10" customFormat="1">
      <c r="A3" s="206"/>
      <c r="B3" s="204" t="s">
        <v>673</v>
      </c>
      <c r="C3" s="210"/>
      <c r="D3" s="209"/>
      <c r="E3" s="356"/>
      <c r="F3" s="1077"/>
      <c r="G3" s="9"/>
    </row>
    <row r="4" spans="1:8" s="10" customFormat="1">
      <c r="A4" s="206"/>
      <c r="B4" s="355"/>
      <c r="C4" s="210"/>
      <c r="D4" s="209"/>
      <c r="E4" s="356"/>
      <c r="F4" s="1077"/>
      <c r="G4" s="9"/>
    </row>
    <row r="5" spans="1:8">
      <c r="A5" s="235"/>
      <c r="B5" s="204" t="s">
        <v>481</v>
      </c>
      <c r="C5" s="236"/>
      <c r="D5" s="237"/>
      <c r="E5" s="236"/>
      <c r="F5" s="1078"/>
    </row>
    <row r="6" spans="1:8">
      <c r="A6" s="235"/>
      <c r="B6" s="204" t="s">
        <v>668</v>
      </c>
      <c r="C6" s="236"/>
      <c r="D6" s="237"/>
      <c r="E6" s="236"/>
      <c r="F6" s="1078"/>
    </row>
    <row r="7" spans="1:8">
      <c r="A7" s="235"/>
      <c r="B7" s="204"/>
      <c r="C7" s="236"/>
      <c r="D7" s="237"/>
      <c r="E7" s="236"/>
      <c r="F7" s="1078"/>
    </row>
    <row r="8" spans="1:8">
      <c r="A8" s="235">
        <v>9</v>
      </c>
      <c r="B8" s="204" t="s">
        <v>107</v>
      </c>
      <c r="C8" s="236"/>
      <c r="D8" s="237"/>
      <c r="E8" s="236"/>
      <c r="F8" s="1078"/>
    </row>
    <row r="9" spans="1:8">
      <c r="A9" s="235"/>
      <c r="B9" s="204"/>
      <c r="C9" s="236"/>
      <c r="D9" s="237"/>
      <c r="E9" s="236"/>
      <c r="F9" s="1078"/>
    </row>
    <row r="10" spans="1:8">
      <c r="A10" s="235"/>
      <c r="B10" s="204" t="s">
        <v>228</v>
      </c>
      <c r="C10" s="236"/>
      <c r="D10" s="237"/>
      <c r="E10" s="236"/>
      <c r="F10" s="1078"/>
    </row>
    <row r="11" spans="1:8">
      <c r="A11" s="235"/>
      <c r="B11" s="204"/>
      <c r="C11" s="236"/>
      <c r="D11" s="237"/>
      <c r="E11" s="236"/>
      <c r="F11" s="1078"/>
    </row>
    <row r="12" spans="1:8" ht="72">
      <c r="A12" s="235">
        <v>9.1</v>
      </c>
      <c r="B12" s="239" t="s">
        <v>669</v>
      </c>
      <c r="C12" s="236" t="s">
        <v>117</v>
      </c>
      <c r="D12" s="237">
        <v>10</v>
      </c>
      <c r="E12" s="236"/>
      <c r="F12" s="1079">
        <f>E12*D12</f>
        <v>0</v>
      </c>
      <c r="G12" s="17"/>
    </row>
    <row r="13" spans="1:8" ht="86.4">
      <c r="A13" s="235">
        <v>9.1999999999999993</v>
      </c>
      <c r="B13" s="239" t="s">
        <v>670</v>
      </c>
      <c r="C13" s="236" t="s">
        <v>117</v>
      </c>
      <c r="D13" s="237">
        <f>D12</f>
        <v>10</v>
      </c>
      <c r="E13" s="236"/>
      <c r="F13" s="1079">
        <f t="shared" ref="F13:F14" si="0">E13*D13</f>
        <v>0</v>
      </c>
      <c r="G13" s="17"/>
      <c r="H13" s="18"/>
    </row>
    <row r="14" spans="1:8" ht="86.4">
      <c r="A14" s="235">
        <v>9.3000000000000007</v>
      </c>
      <c r="B14" s="239" t="s">
        <v>671</v>
      </c>
      <c r="C14" s="236" t="s">
        <v>117</v>
      </c>
      <c r="D14" s="237">
        <f>D13</f>
        <v>10</v>
      </c>
      <c r="E14" s="236"/>
      <c r="F14" s="1079">
        <f t="shared" si="0"/>
        <v>0</v>
      </c>
      <c r="G14" s="17"/>
      <c r="H14" s="18"/>
    </row>
    <row r="15" spans="1:8">
      <c r="A15" s="235"/>
      <c r="B15" s="239"/>
      <c r="C15" s="237"/>
      <c r="D15" s="237"/>
      <c r="E15" s="357"/>
      <c r="F15" s="1080"/>
      <c r="H15" s="18"/>
    </row>
    <row r="16" spans="1:8">
      <c r="A16" s="235"/>
      <c r="B16" s="240" t="s">
        <v>229</v>
      </c>
      <c r="C16" s="241" t="s">
        <v>94</v>
      </c>
      <c r="D16" s="237"/>
      <c r="E16" s="357"/>
      <c r="F16" s="1081">
        <f>SUM(F12:F15)</f>
        <v>0</v>
      </c>
      <c r="H16" s="18"/>
    </row>
    <row r="17" spans="1:20" s="14" customFormat="1" ht="15" customHeight="1">
      <c r="A17" s="21"/>
      <c r="B17" s="22"/>
      <c r="C17" s="23"/>
      <c r="D17" s="24"/>
      <c r="E17" s="23"/>
      <c r="F17" s="1082"/>
      <c r="H17" s="15"/>
      <c r="I17" s="15"/>
      <c r="J17" s="15"/>
      <c r="K17" s="15"/>
      <c r="L17" s="15"/>
      <c r="M17" s="15"/>
      <c r="N17" s="15"/>
      <c r="O17" s="15"/>
      <c r="P17" s="15"/>
      <c r="Q17" s="15"/>
      <c r="R17" s="15"/>
      <c r="S17" s="15"/>
      <c r="T17" s="15"/>
    </row>
    <row r="18" spans="1:20" s="14" customFormat="1" ht="15" customHeight="1">
      <c r="A18" s="21"/>
      <c r="B18" s="22"/>
      <c r="C18" s="23"/>
      <c r="D18" s="24"/>
      <c r="E18" s="23"/>
      <c r="F18" s="1082"/>
      <c r="H18" s="15"/>
      <c r="I18" s="15"/>
      <c r="J18" s="15"/>
      <c r="K18" s="15"/>
      <c r="L18" s="15"/>
      <c r="M18" s="15"/>
      <c r="N18" s="15"/>
      <c r="O18" s="15"/>
      <c r="P18" s="15"/>
      <c r="Q18" s="15"/>
      <c r="R18" s="15"/>
      <c r="S18" s="15"/>
      <c r="T18" s="15"/>
    </row>
    <row r="19" spans="1:20" s="14" customFormat="1" ht="15" customHeight="1">
      <c r="A19" s="21"/>
      <c r="B19" s="22"/>
      <c r="C19" s="23"/>
      <c r="D19" s="24"/>
      <c r="E19" s="23"/>
      <c r="F19" s="1082"/>
      <c r="H19" s="15"/>
      <c r="I19" s="15"/>
      <c r="J19" s="15"/>
      <c r="K19" s="15"/>
      <c r="L19" s="15"/>
      <c r="M19" s="15"/>
      <c r="N19" s="15"/>
      <c r="O19" s="15"/>
      <c r="P19" s="15"/>
      <c r="Q19" s="15"/>
      <c r="R19" s="15"/>
      <c r="S19" s="15"/>
      <c r="T19" s="15"/>
    </row>
    <row r="20" spans="1:20" s="14" customFormat="1" ht="15" customHeight="1">
      <c r="A20" s="21"/>
      <c r="B20" s="22"/>
      <c r="C20" s="23"/>
      <c r="D20" s="24"/>
      <c r="E20" s="23"/>
      <c r="F20" s="1082"/>
      <c r="H20" s="15"/>
      <c r="I20" s="15"/>
      <c r="J20" s="15"/>
      <c r="K20" s="15"/>
      <c r="L20" s="15"/>
      <c r="M20" s="15"/>
      <c r="N20" s="15"/>
      <c r="O20" s="15"/>
      <c r="P20" s="15"/>
      <c r="Q20" s="15"/>
      <c r="R20" s="15"/>
      <c r="S20" s="15"/>
      <c r="T20" s="15"/>
    </row>
    <row r="21" spans="1:20" s="14" customFormat="1" ht="15" customHeight="1">
      <c r="A21" s="21"/>
      <c r="B21" s="22"/>
      <c r="C21" s="23"/>
      <c r="D21" s="24"/>
      <c r="E21" s="23"/>
      <c r="F21" s="1082"/>
      <c r="H21" s="15"/>
      <c r="I21" s="15"/>
      <c r="J21" s="15"/>
      <c r="K21" s="15"/>
      <c r="L21" s="15"/>
      <c r="M21" s="15"/>
      <c r="N21" s="15"/>
      <c r="O21" s="15"/>
      <c r="P21" s="15"/>
      <c r="Q21" s="15"/>
      <c r="R21" s="15"/>
      <c r="S21" s="15"/>
      <c r="T21" s="15"/>
    </row>
    <row r="22" spans="1:20" s="14" customFormat="1" ht="15" customHeight="1">
      <c r="A22" s="21"/>
      <c r="B22" s="22"/>
      <c r="C22" s="23"/>
      <c r="D22" s="24"/>
      <c r="E22" s="23"/>
      <c r="F22" s="1082"/>
      <c r="H22" s="15"/>
      <c r="I22" s="15"/>
      <c r="J22" s="15"/>
      <c r="K22" s="15"/>
      <c r="L22" s="15"/>
      <c r="M22" s="15"/>
      <c r="N22" s="15"/>
      <c r="O22" s="15"/>
      <c r="P22" s="15"/>
      <c r="Q22" s="15"/>
      <c r="R22" s="15"/>
      <c r="S22" s="15"/>
      <c r="T22" s="15"/>
    </row>
    <row r="23" spans="1:20" s="14" customFormat="1" ht="15" customHeight="1">
      <c r="A23" s="21"/>
      <c r="B23" s="22"/>
      <c r="C23" s="23"/>
      <c r="D23" s="24"/>
      <c r="E23" s="23"/>
      <c r="F23" s="1082"/>
      <c r="H23" s="15"/>
      <c r="I23" s="15"/>
      <c r="J23" s="15"/>
      <c r="K23" s="15"/>
      <c r="L23" s="15"/>
      <c r="M23" s="15"/>
      <c r="N23" s="15"/>
      <c r="O23" s="15"/>
      <c r="P23" s="15"/>
      <c r="Q23" s="15"/>
      <c r="R23" s="15"/>
      <c r="S23" s="15"/>
      <c r="T23" s="15"/>
    </row>
    <row r="24" spans="1:20" s="14" customFormat="1" ht="15" customHeight="1">
      <c r="A24" s="21"/>
      <c r="B24" s="22"/>
      <c r="C24" s="23"/>
      <c r="D24" s="24"/>
      <c r="E24" s="23"/>
      <c r="F24" s="1082"/>
      <c r="H24" s="15"/>
      <c r="I24" s="15"/>
      <c r="J24" s="15"/>
      <c r="K24" s="15"/>
      <c r="L24" s="15"/>
      <c r="M24" s="15"/>
      <c r="N24" s="15"/>
      <c r="O24" s="15"/>
      <c r="P24" s="15"/>
      <c r="Q24" s="15"/>
      <c r="R24" s="15"/>
      <c r="S24" s="15"/>
      <c r="T24" s="15"/>
    </row>
    <row r="25" spans="1:20" s="14" customFormat="1" ht="15" customHeight="1">
      <c r="A25" s="21"/>
      <c r="B25" s="22"/>
      <c r="C25" s="23"/>
      <c r="D25" s="24"/>
      <c r="E25" s="23"/>
      <c r="F25" s="1082"/>
      <c r="H25" s="15"/>
      <c r="I25" s="15"/>
      <c r="J25" s="15"/>
      <c r="K25" s="15"/>
      <c r="L25" s="15"/>
      <c r="M25" s="15"/>
      <c r="N25" s="15"/>
      <c r="O25" s="15"/>
      <c r="P25" s="15"/>
      <c r="Q25" s="15"/>
      <c r="R25" s="15"/>
      <c r="S25" s="15"/>
      <c r="T25" s="15"/>
    </row>
    <row r="26" spans="1:20" s="14" customFormat="1" ht="15" customHeight="1">
      <c r="A26" s="21"/>
      <c r="B26" s="22"/>
      <c r="C26" s="23"/>
      <c r="D26" s="24"/>
      <c r="E26" s="23"/>
      <c r="F26" s="1082"/>
      <c r="H26" s="15"/>
      <c r="I26" s="15"/>
      <c r="J26" s="15"/>
      <c r="K26" s="15"/>
      <c r="L26" s="15"/>
      <c r="M26" s="15"/>
      <c r="N26" s="15"/>
      <c r="O26" s="15"/>
      <c r="P26" s="15"/>
      <c r="Q26" s="15"/>
      <c r="R26" s="15"/>
      <c r="S26" s="15"/>
      <c r="T26" s="15"/>
    </row>
    <row r="27" spans="1:20" s="14" customFormat="1" ht="15" customHeight="1">
      <c r="A27" s="21"/>
      <c r="B27" s="22"/>
      <c r="C27" s="23"/>
      <c r="D27" s="24"/>
      <c r="E27" s="23"/>
      <c r="F27" s="1082"/>
      <c r="H27" s="15"/>
      <c r="I27" s="15"/>
      <c r="J27" s="15"/>
      <c r="K27" s="15"/>
      <c r="L27" s="15"/>
      <c r="M27" s="15"/>
      <c r="N27" s="15"/>
      <c r="O27" s="15"/>
      <c r="P27" s="15"/>
      <c r="Q27" s="15"/>
      <c r="R27" s="15"/>
      <c r="S27" s="15"/>
      <c r="T27" s="15"/>
    </row>
    <row r="28" spans="1:20" s="14" customFormat="1" ht="15" customHeight="1">
      <c r="A28" s="21"/>
      <c r="B28" s="22"/>
      <c r="C28" s="23"/>
      <c r="D28" s="24"/>
      <c r="E28" s="23"/>
      <c r="F28" s="1082"/>
      <c r="H28" s="15"/>
      <c r="I28" s="15"/>
      <c r="J28" s="15"/>
      <c r="K28" s="15"/>
      <c r="L28" s="15"/>
      <c r="M28" s="15"/>
      <c r="N28" s="15"/>
      <c r="O28" s="15"/>
      <c r="P28" s="15"/>
      <c r="Q28" s="15"/>
      <c r="R28" s="15"/>
      <c r="S28" s="15"/>
      <c r="T28" s="15"/>
    </row>
    <row r="29" spans="1:20" s="14" customFormat="1" ht="15" customHeight="1">
      <c r="A29" s="21"/>
      <c r="B29" s="22"/>
      <c r="C29" s="23"/>
      <c r="D29" s="24"/>
      <c r="E29" s="23"/>
      <c r="F29" s="1082"/>
      <c r="H29" s="15"/>
      <c r="I29" s="15"/>
      <c r="J29" s="15"/>
      <c r="K29" s="15"/>
      <c r="L29" s="15"/>
      <c r="M29" s="15"/>
      <c r="N29" s="15"/>
      <c r="O29" s="15"/>
      <c r="P29" s="15"/>
      <c r="Q29" s="15"/>
      <c r="R29" s="15"/>
      <c r="S29" s="15"/>
      <c r="T29" s="15"/>
    </row>
    <row r="30" spans="1:20" s="14" customFormat="1" ht="15" customHeight="1">
      <c r="A30" s="21"/>
      <c r="B30" s="22"/>
      <c r="C30" s="23"/>
      <c r="D30" s="24"/>
      <c r="E30" s="23"/>
      <c r="F30" s="1082"/>
      <c r="H30" s="15"/>
      <c r="I30" s="15"/>
      <c r="J30" s="15"/>
      <c r="K30" s="15"/>
      <c r="L30" s="15"/>
      <c r="M30" s="15"/>
      <c r="N30" s="15"/>
      <c r="O30" s="15"/>
      <c r="P30" s="15"/>
      <c r="Q30" s="15"/>
      <c r="R30" s="15"/>
      <c r="S30" s="15"/>
      <c r="T30" s="15"/>
    </row>
    <row r="31" spans="1:20" s="14" customFormat="1" ht="15" customHeight="1">
      <c r="A31" s="21"/>
      <c r="B31" s="22"/>
      <c r="C31" s="23"/>
      <c r="D31" s="24"/>
      <c r="E31" s="23"/>
      <c r="F31" s="1082"/>
      <c r="H31" s="15"/>
      <c r="I31" s="15"/>
      <c r="J31" s="15"/>
      <c r="K31" s="15"/>
      <c r="L31" s="15"/>
      <c r="M31" s="15"/>
      <c r="N31" s="15"/>
      <c r="O31" s="15"/>
      <c r="P31" s="15"/>
      <c r="Q31" s="15"/>
      <c r="R31" s="15"/>
      <c r="S31" s="15"/>
      <c r="T31" s="15"/>
    </row>
    <row r="32" spans="1:20" s="14" customFormat="1" ht="15" customHeight="1">
      <c r="A32" s="21"/>
      <c r="B32" s="22"/>
      <c r="C32" s="23"/>
      <c r="D32" s="24"/>
      <c r="E32" s="23"/>
      <c r="F32" s="1082"/>
      <c r="H32" s="15"/>
      <c r="I32" s="15"/>
      <c r="J32" s="15"/>
      <c r="K32" s="15"/>
      <c r="L32" s="15"/>
      <c r="M32" s="15"/>
      <c r="N32" s="15"/>
      <c r="O32" s="15"/>
      <c r="P32" s="15"/>
      <c r="Q32" s="15"/>
      <c r="R32" s="15"/>
      <c r="S32" s="15"/>
      <c r="T32" s="15"/>
    </row>
    <row r="33" spans="1:20" s="14" customFormat="1" ht="15" customHeight="1">
      <c r="A33" s="21"/>
      <c r="B33" s="22"/>
      <c r="C33" s="23"/>
      <c r="D33" s="24"/>
      <c r="E33" s="23"/>
      <c r="F33" s="1082"/>
      <c r="H33" s="15"/>
      <c r="I33" s="15"/>
      <c r="J33" s="15"/>
      <c r="K33" s="15"/>
      <c r="L33" s="15"/>
      <c r="M33" s="15"/>
      <c r="N33" s="15"/>
      <c r="O33" s="15"/>
      <c r="P33" s="15"/>
      <c r="Q33" s="15"/>
      <c r="R33" s="15"/>
      <c r="S33" s="15"/>
      <c r="T33" s="15"/>
    </row>
    <row r="34" spans="1:20" s="14" customFormat="1" ht="15" customHeight="1">
      <c r="A34" s="21"/>
      <c r="B34" s="22"/>
      <c r="C34" s="23"/>
      <c r="D34" s="24"/>
      <c r="E34" s="23"/>
      <c r="F34" s="1082"/>
      <c r="H34" s="15"/>
      <c r="I34" s="15"/>
      <c r="J34" s="15"/>
      <c r="K34" s="15"/>
      <c r="L34" s="15"/>
      <c r="M34" s="15"/>
      <c r="N34" s="15"/>
      <c r="O34" s="15"/>
      <c r="P34" s="15"/>
      <c r="Q34" s="15"/>
      <c r="R34" s="15"/>
      <c r="S34" s="15"/>
      <c r="T34" s="15"/>
    </row>
    <row r="35" spans="1:20" s="14" customFormat="1" ht="15" customHeight="1">
      <c r="A35" s="21"/>
      <c r="B35" s="22"/>
      <c r="C35" s="23"/>
      <c r="D35" s="24"/>
      <c r="E35" s="23"/>
      <c r="F35" s="1082"/>
      <c r="H35" s="15"/>
      <c r="I35" s="15"/>
      <c r="J35" s="15"/>
      <c r="K35" s="15"/>
      <c r="L35" s="15"/>
      <c r="M35" s="15"/>
      <c r="N35" s="15"/>
      <c r="O35" s="15"/>
      <c r="P35" s="15"/>
      <c r="Q35" s="15"/>
      <c r="R35" s="15"/>
      <c r="S35" s="15"/>
      <c r="T35" s="15"/>
    </row>
    <row r="36" spans="1:20" s="14" customFormat="1" ht="15" customHeight="1">
      <c r="A36" s="21"/>
      <c r="B36" s="22"/>
      <c r="C36" s="23"/>
      <c r="D36" s="24"/>
      <c r="E36" s="23"/>
      <c r="F36" s="1082"/>
      <c r="H36" s="15"/>
      <c r="I36" s="15"/>
      <c r="J36" s="15"/>
      <c r="K36" s="15"/>
      <c r="L36" s="15"/>
      <c r="M36" s="15"/>
      <c r="N36" s="15"/>
      <c r="O36" s="15"/>
      <c r="P36" s="15"/>
      <c r="Q36" s="15"/>
      <c r="R36" s="15"/>
      <c r="S36" s="15"/>
      <c r="T36" s="15"/>
    </row>
    <row r="37" spans="1:20" s="14" customFormat="1" ht="15" customHeight="1">
      <c r="A37" s="21"/>
      <c r="B37" s="22"/>
      <c r="C37" s="23"/>
      <c r="D37" s="24"/>
      <c r="E37" s="23"/>
      <c r="F37" s="1082"/>
      <c r="H37" s="15"/>
      <c r="I37" s="15"/>
      <c r="J37" s="15"/>
      <c r="K37" s="15"/>
      <c r="L37" s="15"/>
      <c r="M37" s="15"/>
      <c r="N37" s="15"/>
      <c r="O37" s="15"/>
      <c r="P37" s="15"/>
      <c r="Q37" s="15"/>
      <c r="R37" s="15"/>
      <c r="S37" s="15"/>
      <c r="T37" s="15"/>
    </row>
    <row r="38" spans="1:20" s="14" customFormat="1" ht="15" customHeight="1">
      <c r="A38" s="21"/>
      <c r="B38" s="22"/>
      <c r="C38" s="23"/>
      <c r="D38" s="24"/>
      <c r="E38" s="23"/>
      <c r="F38" s="1082"/>
      <c r="H38" s="15"/>
      <c r="I38" s="15"/>
      <c r="J38" s="15"/>
      <c r="K38" s="15"/>
      <c r="L38" s="15"/>
      <c r="M38" s="15"/>
      <c r="N38" s="15"/>
      <c r="O38" s="15"/>
      <c r="P38" s="15"/>
      <c r="Q38" s="15"/>
      <c r="R38" s="15"/>
      <c r="S38" s="15"/>
      <c r="T38" s="15"/>
    </row>
    <row r="39" spans="1:20" s="14" customFormat="1" ht="15" customHeight="1">
      <c r="A39" s="21"/>
      <c r="B39" s="22"/>
      <c r="C39" s="23"/>
      <c r="D39" s="24"/>
      <c r="E39" s="23"/>
      <c r="F39" s="1082"/>
      <c r="H39" s="15"/>
      <c r="I39" s="15"/>
      <c r="J39" s="15"/>
      <c r="K39" s="15"/>
      <c r="L39" s="15"/>
      <c r="M39" s="15"/>
      <c r="N39" s="15"/>
      <c r="O39" s="15"/>
      <c r="P39" s="15"/>
      <c r="Q39" s="15"/>
      <c r="R39" s="15"/>
      <c r="S39" s="15"/>
      <c r="T39" s="15"/>
    </row>
    <row r="40" spans="1:20" s="14" customFormat="1" ht="15" customHeight="1">
      <c r="A40" s="21"/>
      <c r="B40" s="22"/>
      <c r="C40" s="23"/>
      <c r="D40" s="24"/>
      <c r="E40" s="23"/>
      <c r="F40" s="1082"/>
      <c r="H40" s="15"/>
      <c r="I40" s="15"/>
      <c r="J40" s="15"/>
      <c r="K40" s="15"/>
      <c r="L40" s="15"/>
      <c r="M40" s="15"/>
      <c r="N40" s="15"/>
      <c r="O40" s="15"/>
      <c r="P40" s="15"/>
      <c r="Q40" s="15"/>
      <c r="R40" s="15"/>
      <c r="S40" s="15"/>
      <c r="T40" s="15"/>
    </row>
    <row r="41" spans="1:20" s="14" customFormat="1" ht="15" customHeight="1">
      <c r="A41" s="21"/>
      <c r="B41" s="22"/>
      <c r="C41" s="23"/>
      <c r="D41" s="24"/>
      <c r="E41" s="23"/>
      <c r="F41" s="1082"/>
      <c r="H41" s="15"/>
      <c r="I41" s="15"/>
      <c r="J41" s="15"/>
      <c r="K41" s="15"/>
      <c r="L41" s="15"/>
      <c r="M41" s="15"/>
      <c r="N41" s="15"/>
      <c r="O41" s="15"/>
      <c r="P41" s="15"/>
      <c r="Q41" s="15"/>
      <c r="R41" s="15"/>
      <c r="S41" s="15"/>
      <c r="T41" s="15"/>
    </row>
    <row r="42" spans="1:20" s="14" customFormat="1" ht="15" customHeight="1">
      <c r="A42" s="21"/>
      <c r="B42" s="22"/>
      <c r="C42" s="23"/>
      <c r="D42" s="24"/>
      <c r="E42" s="23"/>
      <c r="F42" s="1082"/>
      <c r="H42" s="15"/>
      <c r="I42" s="15"/>
      <c r="J42" s="15"/>
      <c r="K42" s="15"/>
      <c r="L42" s="15"/>
      <c r="M42" s="15"/>
      <c r="N42" s="15"/>
      <c r="O42" s="15"/>
      <c r="P42" s="15"/>
      <c r="Q42" s="15"/>
      <c r="R42" s="15"/>
      <c r="S42" s="15"/>
      <c r="T42" s="15"/>
    </row>
    <row r="43" spans="1:20" s="14" customFormat="1" ht="15" customHeight="1">
      <c r="A43" s="21"/>
      <c r="B43" s="22"/>
      <c r="C43" s="23"/>
      <c r="D43" s="24"/>
      <c r="E43" s="23"/>
      <c r="F43" s="1082"/>
      <c r="H43" s="15"/>
      <c r="I43" s="15"/>
      <c r="J43" s="15"/>
      <c r="K43" s="15"/>
      <c r="L43" s="15"/>
      <c r="M43" s="15"/>
      <c r="N43" s="15"/>
      <c r="O43" s="15"/>
      <c r="P43" s="15"/>
      <c r="Q43" s="15"/>
      <c r="R43" s="15"/>
      <c r="S43" s="15"/>
      <c r="T43" s="15"/>
    </row>
    <row r="44" spans="1:20" s="14" customFormat="1" ht="15" customHeight="1">
      <c r="A44" s="21"/>
      <c r="B44" s="22"/>
      <c r="C44" s="23"/>
      <c r="D44" s="24"/>
      <c r="E44" s="23"/>
      <c r="F44" s="1082"/>
      <c r="H44" s="15"/>
      <c r="I44" s="15"/>
      <c r="J44" s="15"/>
      <c r="K44" s="15"/>
      <c r="L44" s="15"/>
      <c r="M44" s="15"/>
      <c r="N44" s="15"/>
      <c r="O44" s="15"/>
      <c r="P44" s="15"/>
      <c r="Q44" s="15"/>
      <c r="R44" s="15"/>
      <c r="S44" s="15"/>
      <c r="T44" s="15"/>
    </row>
    <row r="45" spans="1:20" s="14" customFormat="1" ht="15" customHeight="1">
      <c r="A45" s="21"/>
      <c r="B45" s="22"/>
      <c r="C45" s="23"/>
      <c r="D45" s="24"/>
      <c r="E45" s="23"/>
      <c r="F45" s="1082"/>
      <c r="H45" s="15"/>
      <c r="I45" s="15"/>
      <c r="J45" s="15"/>
      <c r="K45" s="15"/>
      <c r="L45" s="15"/>
      <c r="M45" s="15"/>
      <c r="N45" s="15"/>
      <c r="O45" s="15"/>
      <c r="P45" s="15"/>
      <c r="Q45" s="15"/>
      <c r="R45" s="15"/>
      <c r="S45" s="15"/>
      <c r="T45" s="15"/>
    </row>
    <row r="46" spans="1:20" s="14" customFormat="1" ht="15" customHeight="1">
      <c r="A46" s="21"/>
      <c r="B46" s="22"/>
      <c r="C46" s="23"/>
      <c r="D46" s="24"/>
      <c r="E46" s="23"/>
      <c r="F46" s="1082"/>
      <c r="H46" s="15"/>
      <c r="I46" s="15"/>
      <c r="J46" s="15"/>
      <c r="K46" s="15"/>
      <c r="L46" s="15"/>
      <c r="M46" s="15"/>
      <c r="N46" s="15"/>
      <c r="O46" s="15"/>
      <c r="P46" s="15"/>
      <c r="Q46" s="15"/>
      <c r="R46" s="15"/>
      <c r="S46" s="15"/>
      <c r="T46" s="15"/>
    </row>
    <row r="47" spans="1:20" s="14" customFormat="1" ht="15" customHeight="1">
      <c r="A47" s="21"/>
      <c r="B47" s="22"/>
      <c r="C47" s="23"/>
      <c r="D47" s="24"/>
      <c r="E47" s="23"/>
      <c r="F47" s="1082"/>
      <c r="H47" s="15"/>
      <c r="I47" s="15"/>
      <c r="J47" s="15"/>
      <c r="K47" s="15"/>
      <c r="L47" s="15"/>
      <c r="M47" s="15"/>
      <c r="N47" s="15"/>
      <c r="O47" s="15"/>
      <c r="P47" s="15"/>
      <c r="Q47" s="15"/>
      <c r="R47" s="15"/>
      <c r="S47" s="15"/>
      <c r="T47" s="15"/>
    </row>
    <row r="48" spans="1:20" s="14" customFormat="1" ht="15" customHeight="1">
      <c r="A48" s="21"/>
      <c r="B48" s="22"/>
      <c r="C48" s="23"/>
      <c r="D48" s="24"/>
      <c r="E48" s="23"/>
      <c r="F48" s="1082"/>
      <c r="H48" s="15"/>
      <c r="I48" s="15"/>
      <c r="J48" s="15"/>
      <c r="K48" s="15"/>
      <c r="L48" s="15"/>
      <c r="M48" s="15"/>
      <c r="N48" s="15"/>
      <c r="O48" s="15"/>
      <c r="P48" s="15"/>
      <c r="Q48" s="15"/>
      <c r="R48" s="15"/>
      <c r="S48" s="15"/>
      <c r="T48" s="15"/>
    </row>
    <row r="49" spans="1:20" s="14" customFormat="1" ht="15" customHeight="1">
      <c r="A49" s="21"/>
      <c r="B49" s="22"/>
      <c r="C49" s="23"/>
      <c r="D49" s="24"/>
      <c r="E49" s="23"/>
      <c r="F49" s="1082"/>
      <c r="H49" s="15"/>
      <c r="I49" s="15"/>
      <c r="J49" s="15"/>
      <c r="K49" s="15"/>
      <c r="L49" s="15"/>
      <c r="M49" s="15"/>
      <c r="N49" s="15"/>
      <c r="O49" s="15"/>
      <c r="P49" s="15"/>
      <c r="Q49" s="15"/>
      <c r="R49" s="15"/>
      <c r="S49" s="15"/>
      <c r="T49" s="15"/>
    </row>
    <row r="50" spans="1:20" s="14" customFormat="1" ht="15" customHeight="1">
      <c r="A50" s="21"/>
      <c r="B50" s="22"/>
      <c r="C50" s="23"/>
      <c r="D50" s="24"/>
      <c r="E50" s="23"/>
      <c r="F50" s="1082"/>
      <c r="H50" s="15"/>
      <c r="I50" s="15"/>
      <c r="J50" s="15"/>
      <c r="K50" s="15"/>
      <c r="L50" s="15"/>
      <c r="M50" s="15"/>
      <c r="N50" s="15"/>
      <c r="O50" s="15"/>
      <c r="P50" s="15"/>
      <c r="Q50" s="15"/>
      <c r="R50" s="15"/>
      <c r="S50" s="15"/>
      <c r="T50" s="15"/>
    </row>
    <row r="51" spans="1:20" s="14" customFormat="1" ht="15" customHeight="1">
      <c r="A51" s="21"/>
      <c r="B51" s="22"/>
      <c r="C51" s="23"/>
      <c r="D51" s="24"/>
      <c r="E51" s="23"/>
      <c r="F51" s="1082"/>
      <c r="H51" s="15"/>
      <c r="I51" s="15"/>
      <c r="J51" s="15"/>
      <c r="K51" s="15"/>
      <c r="L51" s="15"/>
      <c r="M51" s="15"/>
      <c r="N51" s="15"/>
      <c r="O51" s="15"/>
      <c r="P51" s="15"/>
      <c r="Q51" s="15"/>
      <c r="R51" s="15"/>
      <c r="S51" s="15"/>
      <c r="T51" s="15"/>
    </row>
    <row r="52" spans="1:20" s="14" customFormat="1" ht="15" customHeight="1">
      <c r="A52" s="21"/>
      <c r="B52" s="22"/>
      <c r="C52" s="23"/>
      <c r="D52" s="24"/>
      <c r="E52" s="23"/>
      <c r="F52" s="1082"/>
      <c r="H52" s="15"/>
      <c r="I52" s="15"/>
      <c r="J52" s="15"/>
      <c r="K52" s="15"/>
      <c r="L52" s="15"/>
      <c r="M52" s="15"/>
      <c r="N52" s="15"/>
      <c r="O52" s="15"/>
      <c r="P52" s="15"/>
      <c r="Q52" s="15"/>
      <c r="R52" s="15"/>
      <c r="S52" s="15"/>
      <c r="T52" s="15"/>
    </row>
    <row r="53" spans="1:20" s="14" customFormat="1" ht="15" customHeight="1">
      <c r="A53" s="21"/>
      <c r="B53" s="22"/>
      <c r="C53" s="23"/>
      <c r="D53" s="24"/>
      <c r="E53" s="23"/>
      <c r="F53" s="1082"/>
      <c r="H53" s="15"/>
      <c r="I53" s="15"/>
      <c r="J53" s="15"/>
      <c r="K53" s="15"/>
      <c r="L53" s="15"/>
      <c r="M53" s="15"/>
      <c r="N53" s="15"/>
      <c r="O53" s="15"/>
      <c r="P53" s="15"/>
      <c r="Q53" s="15"/>
      <c r="R53" s="15"/>
      <c r="S53" s="15"/>
      <c r="T53" s="15"/>
    </row>
    <row r="54" spans="1:20" s="14" customFormat="1" ht="15" customHeight="1">
      <c r="A54" s="21"/>
      <c r="B54" s="22"/>
      <c r="C54" s="23"/>
      <c r="D54" s="24"/>
      <c r="E54" s="23"/>
      <c r="F54" s="1082"/>
      <c r="H54" s="15"/>
      <c r="I54" s="15"/>
      <c r="J54" s="15"/>
      <c r="K54" s="15"/>
      <c r="L54" s="15"/>
      <c r="M54" s="15"/>
      <c r="N54" s="15"/>
      <c r="O54" s="15"/>
      <c r="P54" s="15"/>
      <c r="Q54" s="15"/>
      <c r="R54" s="15"/>
      <c r="S54" s="15"/>
      <c r="T54" s="15"/>
    </row>
    <row r="55" spans="1:20" s="14" customFormat="1" ht="15" customHeight="1">
      <c r="A55" s="21"/>
      <c r="B55" s="22"/>
      <c r="C55" s="23"/>
      <c r="D55" s="24"/>
      <c r="E55" s="23"/>
      <c r="F55" s="1082"/>
      <c r="H55" s="15"/>
      <c r="I55" s="15"/>
      <c r="J55" s="15"/>
      <c r="K55" s="15"/>
      <c r="L55" s="15"/>
      <c r="M55" s="15"/>
      <c r="N55" s="15"/>
      <c r="O55" s="15"/>
      <c r="P55" s="15"/>
      <c r="Q55" s="15"/>
      <c r="R55" s="15"/>
      <c r="S55" s="15"/>
      <c r="T55" s="15"/>
    </row>
    <row r="56" spans="1:20" s="14" customFormat="1" ht="15" customHeight="1">
      <c r="A56" s="21"/>
      <c r="B56" s="22"/>
      <c r="C56" s="23"/>
      <c r="D56" s="24"/>
      <c r="E56" s="23"/>
      <c r="F56" s="1082"/>
      <c r="H56" s="15"/>
      <c r="I56" s="15"/>
      <c r="J56" s="15"/>
      <c r="K56" s="15"/>
      <c r="L56" s="15"/>
      <c r="M56" s="15"/>
      <c r="N56" s="15"/>
      <c r="O56" s="15"/>
      <c r="P56" s="15"/>
      <c r="Q56" s="15"/>
      <c r="R56" s="15"/>
      <c r="S56" s="15"/>
      <c r="T56" s="15"/>
    </row>
    <row r="57" spans="1:20" s="14" customFormat="1" ht="15" customHeight="1">
      <c r="A57" s="21"/>
      <c r="B57" s="22"/>
      <c r="C57" s="23"/>
      <c r="D57" s="24"/>
      <c r="E57" s="23"/>
      <c r="F57" s="1082"/>
      <c r="H57" s="15"/>
      <c r="I57" s="15"/>
      <c r="J57" s="15"/>
      <c r="K57" s="15"/>
      <c r="L57" s="15"/>
      <c r="M57" s="15"/>
      <c r="N57" s="15"/>
      <c r="O57" s="15"/>
      <c r="P57" s="15"/>
      <c r="Q57" s="15"/>
      <c r="R57" s="15"/>
      <c r="S57" s="15"/>
      <c r="T57" s="15"/>
    </row>
    <row r="58" spans="1:20" s="14" customFormat="1" ht="15" customHeight="1">
      <c r="A58" s="21"/>
      <c r="B58" s="22"/>
      <c r="C58" s="23"/>
      <c r="D58" s="24"/>
      <c r="E58" s="23"/>
      <c r="F58" s="1082"/>
      <c r="H58" s="15"/>
      <c r="I58" s="15"/>
      <c r="J58" s="15"/>
      <c r="K58" s="15"/>
      <c r="L58" s="15"/>
      <c r="M58" s="15"/>
      <c r="N58" s="15"/>
      <c r="O58" s="15"/>
      <c r="P58" s="15"/>
      <c r="Q58" s="15"/>
      <c r="R58" s="15"/>
      <c r="S58" s="15"/>
      <c r="T58" s="15"/>
    </row>
    <row r="59" spans="1:20" s="14" customFormat="1" ht="15" customHeight="1">
      <c r="A59" s="21"/>
      <c r="B59" s="22"/>
      <c r="C59" s="23"/>
      <c r="D59" s="24"/>
      <c r="E59" s="23"/>
      <c r="F59" s="1082"/>
      <c r="H59" s="15"/>
      <c r="I59" s="15"/>
      <c r="J59" s="15"/>
      <c r="K59" s="15"/>
      <c r="L59" s="15"/>
      <c r="M59" s="15"/>
      <c r="N59" s="15"/>
      <c r="O59" s="15"/>
      <c r="P59" s="15"/>
      <c r="Q59" s="15"/>
      <c r="R59" s="15"/>
      <c r="S59" s="15"/>
      <c r="T59" s="15"/>
    </row>
    <row r="60" spans="1:20" s="14" customFormat="1" ht="15" customHeight="1">
      <c r="A60" s="21"/>
      <c r="B60" s="22"/>
      <c r="C60" s="23"/>
      <c r="D60" s="24"/>
      <c r="E60" s="23"/>
      <c r="F60" s="1082"/>
      <c r="H60" s="15"/>
      <c r="I60" s="15"/>
      <c r="J60" s="15"/>
      <c r="K60" s="15"/>
      <c r="L60" s="15"/>
      <c r="M60" s="15"/>
      <c r="N60" s="15"/>
      <c r="O60" s="15"/>
      <c r="P60" s="15"/>
      <c r="Q60" s="15"/>
      <c r="R60" s="15"/>
      <c r="S60" s="15"/>
      <c r="T60" s="15"/>
    </row>
    <row r="61" spans="1:20" s="14" customFormat="1" ht="15" customHeight="1">
      <c r="A61" s="21"/>
      <c r="B61" s="22"/>
      <c r="C61" s="23"/>
      <c r="D61" s="24"/>
      <c r="E61" s="23"/>
      <c r="F61" s="1082"/>
      <c r="H61" s="15"/>
      <c r="I61" s="15"/>
      <c r="J61" s="15"/>
      <c r="K61" s="15"/>
      <c r="L61" s="15"/>
      <c r="M61" s="15"/>
      <c r="N61" s="15"/>
      <c r="O61" s="15"/>
      <c r="P61" s="15"/>
      <c r="Q61" s="15"/>
      <c r="R61" s="15"/>
      <c r="S61" s="15"/>
      <c r="T61" s="15"/>
    </row>
    <row r="62" spans="1:20" s="14" customFormat="1" ht="15" customHeight="1">
      <c r="A62" s="21"/>
      <c r="B62" s="22"/>
      <c r="C62" s="23"/>
      <c r="D62" s="24"/>
      <c r="E62" s="23"/>
      <c r="F62" s="1082"/>
      <c r="H62" s="15"/>
      <c r="I62" s="15"/>
      <c r="J62" s="15"/>
      <c r="K62" s="15"/>
      <c r="L62" s="15"/>
      <c r="M62" s="15"/>
      <c r="N62" s="15"/>
      <c r="O62" s="15"/>
      <c r="P62" s="15"/>
      <c r="Q62" s="15"/>
      <c r="R62" s="15"/>
      <c r="S62" s="15"/>
      <c r="T62" s="15"/>
    </row>
    <row r="63" spans="1:20" s="14" customFormat="1" ht="15" customHeight="1">
      <c r="A63" s="21"/>
      <c r="B63" s="22"/>
      <c r="C63" s="23"/>
      <c r="D63" s="24"/>
      <c r="E63" s="23"/>
      <c r="F63" s="1082"/>
      <c r="H63" s="15"/>
      <c r="I63" s="15"/>
      <c r="J63" s="15"/>
      <c r="K63" s="15"/>
      <c r="L63" s="15"/>
      <c r="M63" s="15"/>
      <c r="N63" s="15"/>
      <c r="O63" s="15"/>
      <c r="P63" s="15"/>
      <c r="Q63" s="15"/>
      <c r="R63" s="15"/>
      <c r="S63" s="15"/>
      <c r="T63" s="15"/>
    </row>
    <row r="64" spans="1:20" s="14" customFormat="1" ht="15" customHeight="1">
      <c r="A64" s="21"/>
      <c r="B64" s="22"/>
      <c r="C64" s="23"/>
      <c r="D64" s="24"/>
      <c r="E64" s="23"/>
      <c r="F64" s="1082"/>
      <c r="H64" s="15"/>
      <c r="I64" s="15"/>
      <c r="J64" s="15"/>
      <c r="K64" s="15"/>
      <c r="L64" s="15"/>
      <c r="M64" s="15"/>
      <c r="N64" s="15"/>
      <c r="O64" s="15"/>
      <c r="P64" s="15"/>
      <c r="Q64" s="15"/>
      <c r="R64" s="15"/>
      <c r="S64" s="15"/>
      <c r="T64" s="15"/>
    </row>
    <row r="65" spans="1:20" s="14" customFormat="1" ht="15" customHeight="1">
      <c r="A65" s="21"/>
      <c r="B65" s="22"/>
      <c r="C65" s="23"/>
      <c r="D65" s="24"/>
      <c r="E65" s="23"/>
      <c r="F65" s="1082"/>
      <c r="H65" s="15"/>
      <c r="I65" s="15"/>
      <c r="J65" s="15"/>
      <c r="K65" s="15"/>
      <c r="L65" s="15"/>
      <c r="M65" s="15"/>
      <c r="N65" s="15"/>
      <c r="O65" s="15"/>
      <c r="P65" s="15"/>
      <c r="Q65" s="15"/>
      <c r="R65" s="15"/>
      <c r="S65" s="15"/>
      <c r="T65" s="15"/>
    </row>
    <row r="66" spans="1:20" s="14" customFormat="1" ht="15" customHeight="1">
      <c r="A66" s="21"/>
      <c r="B66" s="22"/>
      <c r="C66" s="23"/>
      <c r="D66" s="24"/>
      <c r="E66" s="23"/>
      <c r="F66" s="1082"/>
      <c r="H66" s="15"/>
      <c r="I66" s="15"/>
      <c r="J66" s="15"/>
      <c r="K66" s="15"/>
      <c r="L66" s="15"/>
      <c r="M66" s="15"/>
      <c r="N66" s="15"/>
      <c r="O66" s="15"/>
      <c r="P66" s="15"/>
      <c r="Q66" s="15"/>
      <c r="R66" s="15"/>
      <c r="S66" s="15"/>
      <c r="T66" s="15"/>
    </row>
    <row r="67" spans="1:20" s="14" customFormat="1" ht="15" customHeight="1">
      <c r="A67" s="21"/>
      <c r="B67" s="22"/>
      <c r="C67" s="23"/>
      <c r="D67" s="24"/>
      <c r="E67" s="23"/>
      <c r="F67" s="1082"/>
      <c r="H67" s="15"/>
      <c r="I67" s="15"/>
      <c r="J67" s="15"/>
      <c r="K67" s="15"/>
      <c r="L67" s="15"/>
      <c r="M67" s="15"/>
      <c r="N67" s="15"/>
      <c r="O67" s="15"/>
      <c r="P67" s="15"/>
      <c r="Q67" s="15"/>
      <c r="R67" s="15"/>
      <c r="S67" s="15"/>
      <c r="T67" s="15"/>
    </row>
    <row r="68" spans="1:20" s="14" customFormat="1" ht="15" customHeight="1">
      <c r="A68" s="21"/>
      <c r="B68" s="22"/>
      <c r="C68" s="23"/>
      <c r="D68" s="24"/>
      <c r="E68" s="23"/>
      <c r="F68" s="1082"/>
      <c r="H68" s="15"/>
      <c r="I68" s="15"/>
      <c r="J68" s="15"/>
      <c r="K68" s="15"/>
      <c r="L68" s="15"/>
      <c r="M68" s="15"/>
      <c r="N68" s="15"/>
      <c r="O68" s="15"/>
      <c r="P68" s="15"/>
      <c r="Q68" s="15"/>
      <c r="R68" s="15"/>
      <c r="S68" s="15"/>
      <c r="T68" s="15"/>
    </row>
    <row r="69" spans="1:20" s="14" customFormat="1" ht="15" customHeight="1">
      <c r="A69" s="21"/>
      <c r="B69" s="22"/>
      <c r="C69" s="23"/>
      <c r="D69" s="24"/>
      <c r="E69" s="23"/>
      <c r="F69" s="1082"/>
      <c r="H69" s="15"/>
      <c r="I69" s="15"/>
      <c r="J69" s="15"/>
      <c r="K69" s="15"/>
      <c r="L69" s="15"/>
      <c r="M69" s="15"/>
      <c r="N69" s="15"/>
      <c r="O69" s="15"/>
      <c r="P69" s="15"/>
      <c r="Q69" s="15"/>
      <c r="R69" s="15"/>
      <c r="S69" s="15"/>
      <c r="T69" s="15"/>
    </row>
    <row r="70" spans="1:20" s="14" customFormat="1" ht="15" customHeight="1">
      <c r="A70" s="21"/>
      <c r="B70" s="22"/>
      <c r="C70" s="23"/>
      <c r="D70" s="24"/>
      <c r="E70" s="23"/>
      <c r="F70" s="1082"/>
      <c r="H70" s="15"/>
      <c r="I70" s="15"/>
      <c r="J70" s="15"/>
      <c r="K70" s="15"/>
      <c r="L70" s="15"/>
      <c r="M70" s="15"/>
      <c r="N70" s="15"/>
      <c r="O70" s="15"/>
      <c r="P70" s="15"/>
      <c r="Q70" s="15"/>
      <c r="R70" s="15"/>
      <c r="S70" s="15"/>
      <c r="T70" s="15"/>
    </row>
    <row r="71" spans="1:20" s="14" customFormat="1" ht="15" customHeight="1">
      <c r="A71" s="21"/>
      <c r="B71" s="22"/>
      <c r="C71" s="23"/>
      <c r="D71" s="24"/>
      <c r="E71" s="23"/>
      <c r="F71" s="1082"/>
      <c r="H71" s="15"/>
      <c r="I71" s="15"/>
      <c r="J71" s="15"/>
      <c r="K71" s="15"/>
      <c r="L71" s="15"/>
      <c r="M71" s="15"/>
      <c r="N71" s="15"/>
      <c r="O71" s="15"/>
      <c r="P71" s="15"/>
      <c r="Q71" s="15"/>
      <c r="R71" s="15"/>
      <c r="S71" s="15"/>
      <c r="T71" s="15"/>
    </row>
    <row r="72" spans="1:20" s="14" customFormat="1" ht="15" customHeight="1">
      <c r="A72" s="21"/>
      <c r="B72" s="22"/>
      <c r="C72" s="23"/>
      <c r="D72" s="24"/>
      <c r="E72" s="23"/>
      <c r="F72" s="1082"/>
      <c r="H72" s="15"/>
      <c r="I72" s="15"/>
      <c r="J72" s="15"/>
      <c r="K72" s="15"/>
      <c r="L72" s="15"/>
      <c r="M72" s="15"/>
      <c r="N72" s="15"/>
      <c r="O72" s="15"/>
      <c r="P72" s="15"/>
      <c r="Q72" s="15"/>
      <c r="R72" s="15"/>
      <c r="S72" s="15"/>
      <c r="T72" s="15"/>
    </row>
    <row r="73" spans="1:20" s="14" customFormat="1" ht="15" customHeight="1">
      <c r="A73" s="21"/>
      <c r="B73" s="22"/>
      <c r="C73" s="23"/>
      <c r="D73" s="24"/>
      <c r="E73" s="23"/>
      <c r="F73" s="1082"/>
      <c r="H73" s="15"/>
      <c r="I73" s="15"/>
      <c r="J73" s="15"/>
      <c r="K73" s="15"/>
      <c r="L73" s="15"/>
      <c r="M73" s="15"/>
      <c r="N73" s="15"/>
      <c r="O73" s="15"/>
      <c r="P73" s="15"/>
      <c r="Q73" s="15"/>
      <c r="R73" s="15"/>
      <c r="S73" s="15"/>
      <c r="T73" s="15"/>
    </row>
    <row r="74" spans="1:20" s="14" customFormat="1" ht="15" customHeight="1">
      <c r="A74" s="21"/>
      <c r="B74" s="22"/>
      <c r="C74" s="23"/>
      <c r="D74" s="24"/>
      <c r="E74" s="23"/>
      <c r="F74" s="1082"/>
      <c r="H74" s="15"/>
      <c r="I74" s="15"/>
      <c r="J74" s="15"/>
      <c r="K74" s="15"/>
      <c r="L74" s="15"/>
      <c r="M74" s="15"/>
      <c r="N74" s="15"/>
      <c r="O74" s="15"/>
      <c r="P74" s="15"/>
      <c r="Q74" s="15"/>
      <c r="R74" s="15"/>
      <c r="S74" s="15"/>
      <c r="T74" s="15"/>
    </row>
    <row r="75" spans="1:20" s="14" customFormat="1" ht="15" customHeight="1">
      <c r="A75" s="21"/>
      <c r="B75" s="22"/>
      <c r="C75" s="23"/>
      <c r="D75" s="24"/>
      <c r="E75" s="23"/>
      <c r="F75" s="1082"/>
      <c r="H75" s="15"/>
      <c r="I75" s="15"/>
      <c r="J75" s="15"/>
      <c r="K75" s="15"/>
      <c r="L75" s="15"/>
      <c r="M75" s="15"/>
      <c r="N75" s="15"/>
      <c r="O75" s="15"/>
      <c r="P75" s="15"/>
      <c r="Q75" s="15"/>
      <c r="R75" s="15"/>
      <c r="S75" s="15"/>
      <c r="T75" s="15"/>
    </row>
    <row r="76" spans="1:20" s="14" customFormat="1" ht="15" customHeight="1">
      <c r="A76" s="21"/>
      <c r="B76" s="22"/>
      <c r="C76" s="23"/>
      <c r="D76" s="24"/>
      <c r="E76" s="23"/>
      <c r="F76" s="1082"/>
      <c r="H76" s="15"/>
      <c r="I76" s="15"/>
      <c r="J76" s="15"/>
      <c r="K76" s="15"/>
      <c r="L76" s="15"/>
      <c r="M76" s="15"/>
      <c r="N76" s="15"/>
      <c r="O76" s="15"/>
      <c r="P76" s="15"/>
      <c r="Q76" s="15"/>
      <c r="R76" s="15"/>
      <c r="S76" s="15"/>
      <c r="T76" s="15"/>
    </row>
    <row r="77" spans="1:20" s="14" customFormat="1" ht="15" customHeight="1">
      <c r="A77" s="21"/>
      <c r="B77" s="22"/>
      <c r="C77" s="23"/>
      <c r="D77" s="24"/>
      <c r="E77" s="23"/>
      <c r="F77" s="1082"/>
      <c r="H77" s="15"/>
      <c r="I77" s="15"/>
      <c r="J77" s="15"/>
      <c r="K77" s="15"/>
      <c r="L77" s="15"/>
      <c r="M77" s="15"/>
      <c r="N77" s="15"/>
      <c r="O77" s="15"/>
      <c r="P77" s="15"/>
      <c r="Q77" s="15"/>
      <c r="R77" s="15"/>
      <c r="S77" s="15"/>
      <c r="T77" s="15"/>
    </row>
    <row r="78" spans="1:20" s="14" customFormat="1" ht="15" customHeight="1">
      <c r="A78" s="21"/>
      <c r="B78" s="22"/>
      <c r="C78" s="23"/>
      <c r="D78" s="24"/>
      <c r="E78" s="23"/>
      <c r="F78" s="1082"/>
      <c r="H78" s="15"/>
      <c r="I78" s="15"/>
      <c r="J78" s="15"/>
      <c r="K78" s="15"/>
      <c r="L78" s="15"/>
      <c r="M78" s="15"/>
      <c r="N78" s="15"/>
      <c r="O78" s="15"/>
      <c r="P78" s="15"/>
      <c r="Q78" s="15"/>
      <c r="R78" s="15"/>
      <c r="S78" s="15"/>
      <c r="T78" s="15"/>
    </row>
    <row r="79" spans="1:20" s="14" customFormat="1" ht="15" customHeight="1">
      <c r="A79" s="21"/>
      <c r="B79" s="22"/>
      <c r="C79" s="23"/>
      <c r="D79" s="24"/>
      <c r="E79" s="23"/>
      <c r="F79" s="1082"/>
      <c r="H79" s="15"/>
      <c r="I79" s="15"/>
      <c r="J79" s="15"/>
      <c r="K79" s="15"/>
      <c r="L79" s="15"/>
      <c r="M79" s="15"/>
      <c r="N79" s="15"/>
      <c r="O79" s="15"/>
      <c r="P79" s="15"/>
      <c r="Q79" s="15"/>
      <c r="R79" s="15"/>
      <c r="S79" s="15"/>
      <c r="T79" s="15"/>
    </row>
    <row r="80" spans="1:20" s="14" customFormat="1" ht="15" customHeight="1">
      <c r="A80" s="21"/>
      <c r="B80" s="22"/>
      <c r="C80" s="23"/>
      <c r="D80" s="24"/>
      <c r="E80" s="23"/>
      <c r="F80" s="1082"/>
      <c r="H80" s="15"/>
      <c r="I80" s="15"/>
      <c r="J80" s="15"/>
      <c r="K80" s="15"/>
      <c r="L80" s="15"/>
      <c r="M80" s="15"/>
      <c r="N80" s="15"/>
      <c r="O80" s="15"/>
      <c r="P80" s="15"/>
      <c r="Q80" s="15"/>
      <c r="R80" s="15"/>
      <c r="S80" s="15"/>
      <c r="T80" s="15"/>
    </row>
    <row r="81" spans="1:20" s="14" customFormat="1" ht="15" customHeight="1">
      <c r="A81" s="21"/>
      <c r="B81" s="22"/>
      <c r="C81" s="23"/>
      <c r="D81" s="24"/>
      <c r="E81" s="23"/>
      <c r="F81" s="1082"/>
      <c r="H81" s="15"/>
      <c r="I81" s="15"/>
      <c r="J81" s="15"/>
      <c r="K81" s="15"/>
      <c r="L81" s="15"/>
      <c r="M81" s="15"/>
      <c r="N81" s="15"/>
      <c r="O81" s="15"/>
      <c r="P81" s="15"/>
      <c r="Q81" s="15"/>
      <c r="R81" s="15"/>
      <c r="S81" s="15"/>
      <c r="T81" s="15"/>
    </row>
    <row r="82" spans="1:20" s="14" customFormat="1" ht="15" customHeight="1">
      <c r="A82" s="21"/>
      <c r="B82" s="22"/>
      <c r="C82" s="23"/>
      <c r="D82" s="24"/>
      <c r="E82" s="23"/>
      <c r="F82" s="1082"/>
      <c r="H82" s="15"/>
      <c r="I82" s="15"/>
      <c r="J82" s="15"/>
      <c r="K82" s="15"/>
      <c r="L82" s="15"/>
      <c r="M82" s="15"/>
      <c r="N82" s="15"/>
      <c r="O82" s="15"/>
      <c r="P82" s="15"/>
      <c r="Q82" s="15"/>
      <c r="R82" s="15"/>
      <c r="S82" s="15"/>
      <c r="T82" s="15"/>
    </row>
    <row r="83" spans="1:20" s="14" customFormat="1" ht="15" customHeight="1">
      <c r="A83" s="21"/>
      <c r="B83" s="22"/>
      <c r="C83" s="23"/>
      <c r="D83" s="24"/>
      <c r="E83" s="23"/>
      <c r="F83" s="1082"/>
      <c r="H83" s="15"/>
      <c r="I83" s="15"/>
      <c r="J83" s="15"/>
      <c r="K83" s="15"/>
      <c r="L83" s="15"/>
      <c r="M83" s="15"/>
      <c r="N83" s="15"/>
      <c r="O83" s="15"/>
      <c r="P83" s="15"/>
      <c r="Q83" s="15"/>
      <c r="R83" s="15"/>
      <c r="S83" s="15"/>
      <c r="T83" s="15"/>
    </row>
    <row r="84" spans="1:20" s="14" customFormat="1" ht="15" customHeight="1">
      <c r="A84" s="21"/>
      <c r="B84" s="22"/>
      <c r="C84" s="23"/>
      <c r="D84" s="24"/>
      <c r="E84" s="23"/>
      <c r="F84" s="1082"/>
      <c r="H84" s="15"/>
      <c r="I84" s="15"/>
      <c r="J84" s="15"/>
      <c r="K84" s="15"/>
      <c r="L84" s="15"/>
      <c r="M84" s="15"/>
      <c r="N84" s="15"/>
      <c r="O84" s="15"/>
      <c r="P84" s="15"/>
      <c r="Q84" s="15"/>
      <c r="R84" s="15"/>
      <c r="S84" s="15"/>
      <c r="T84" s="15"/>
    </row>
    <row r="85" spans="1:20" s="14" customFormat="1" ht="15" customHeight="1">
      <c r="A85" s="21"/>
      <c r="B85" s="22"/>
      <c r="C85" s="23"/>
      <c r="D85" s="24"/>
      <c r="E85" s="23"/>
      <c r="F85" s="1082"/>
      <c r="H85" s="15"/>
      <c r="I85" s="15"/>
      <c r="J85" s="15"/>
      <c r="K85" s="15"/>
      <c r="L85" s="15"/>
      <c r="M85" s="15"/>
      <c r="N85" s="15"/>
      <c r="O85" s="15"/>
      <c r="P85" s="15"/>
      <c r="Q85" s="15"/>
      <c r="R85" s="15"/>
      <c r="S85" s="15"/>
      <c r="T85" s="15"/>
    </row>
    <row r="86" spans="1:20" s="14" customFormat="1" ht="15" customHeight="1">
      <c r="A86" s="21"/>
      <c r="B86" s="22"/>
      <c r="C86" s="23"/>
      <c r="D86" s="24"/>
      <c r="E86" s="23"/>
      <c r="F86" s="1082"/>
      <c r="H86" s="15"/>
      <c r="I86" s="15"/>
      <c r="J86" s="15"/>
      <c r="K86" s="15"/>
      <c r="L86" s="15"/>
      <c r="M86" s="15"/>
      <c r="N86" s="15"/>
      <c r="O86" s="15"/>
      <c r="P86" s="15"/>
      <c r="Q86" s="15"/>
      <c r="R86" s="15"/>
      <c r="S86" s="15"/>
      <c r="T86" s="15"/>
    </row>
    <row r="87" spans="1:20" s="14" customFormat="1" ht="15" customHeight="1">
      <c r="A87" s="21"/>
      <c r="B87" s="22"/>
      <c r="C87" s="23"/>
      <c r="D87" s="24"/>
      <c r="E87" s="23"/>
      <c r="F87" s="1082"/>
      <c r="H87" s="15"/>
      <c r="I87" s="15"/>
      <c r="J87" s="15"/>
      <c r="K87" s="15"/>
      <c r="L87" s="15"/>
      <c r="M87" s="15"/>
      <c r="N87" s="15"/>
      <c r="O87" s="15"/>
      <c r="P87" s="15"/>
      <c r="Q87" s="15"/>
      <c r="R87" s="15"/>
      <c r="S87" s="15"/>
      <c r="T87" s="15"/>
    </row>
    <row r="88" spans="1:20" s="14" customFormat="1" ht="15" customHeight="1">
      <c r="A88" s="21"/>
      <c r="B88" s="22"/>
      <c r="C88" s="23"/>
      <c r="D88" s="24"/>
      <c r="E88" s="23"/>
      <c r="F88" s="1082"/>
      <c r="H88" s="15"/>
      <c r="I88" s="15"/>
      <c r="J88" s="15"/>
      <c r="K88" s="15"/>
      <c r="L88" s="15"/>
      <c r="M88" s="15"/>
      <c r="N88" s="15"/>
      <c r="O88" s="15"/>
      <c r="P88" s="15"/>
      <c r="Q88" s="15"/>
      <c r="R88" s="15"/>
      <c r="S88" s="15"/>
      <c r="T88" s="15"/>
    </row>
    <row r="89" spans="1:20" s="14" customFormat="1" ht="15" customHeight="1">
      <c r="A89" s="21"/>
      <c r="B89" s="22"/>
      <c r="C89" s="23"/>
      <c r="D89" s="24"/>
      <c r="E89" s="23"/>
      <c r="F89" s="1082"/>
      <c r="H89" s="15"/>
      <c r="I89" s="15"/>
      <c r="J89" s="15"/>
      <c r="K89" s="15"/>
      <c r="L89" s="15"/>
      <c r="M89" s="15"/>
      <c r="N89" s="15"/>
      <c r="O89" s="15"/>
      <c r="P89" s="15"/>
      <c r="Q89" s="15"/>
      <c r="R89" s="15"/>
      <c r="S89" s="15"/>
      <c r="T89" s="15"/>
    </row>
    <row r="90" spans="1:20" s="14" customFormat="1" ht="15" customHeight="1">
      <c r="A90" s="21"/>
      <c r="B90" s="22"/>
      <c r="C90" s="23"/>
      <c r="D90" s="24"/>
      <c r="E90" s="23"/>
      <c r="F90" s="1082"/>
      <c r="H90" s="15"/>
      <c r="I90" s="15"/>
      <c r="J90" s="15"/>
      <c r="K90" s="15"/>
      <c r="L90" s="15"/>
      <c r="M90" s="15"/>
      <c r="N90" s="15"/>
      <c r="O90" s="15"/>
      <c r="P90" s="15"/>
      <c r="Q90" s="15"/>
      <c r="R90" s="15"/>
      <c r="S90" s="15"/>
      <c r="T90" s="15"/>
    </row>
    <row r="91" spans="1:20" s="14" customFormat="1" ht="15" customHeight="1">
      <c r="A91" s="21"/>
      <c r="B91" s="22"/>
      <c r="C91" s="23"/>
      <c r="D91" s="24"/>
      <c r="E91" s="23"/>
      <c r="F91" s="1082"/>
      <c r="H91" s="15"/>
      <c r="I91" s="15"/>
      <c r="J91" s="15"/>
      <c r="K91" s="15"/>
      <c r="L91" s="15"/>
      <c r="M91" s="15"/>
      <c r="N91" s="15"/>
      <c r="O91" s="15"/>
      <c r="P91" s="15"/>
      <c r="Q91" s="15"/>
      <c r="R91" s="15"/>
      <c r="S91" s="15"/>
      <c r="T91" s="15"/>
    </row>
    <row r="92" spans="1:20" s="14" customFormat="1" ht="15" customHeight="1">
      <c r="A92" s="21"/>
      <c r="B92" s="22"/>
      <c r="C92" s="23"/>
      <c r="D92" s="24"/>
      <c r="E92" s="23"/>
      <c r="F92" s="1082"/>
      <c r="H92" s="15"/>
      <c r="I92" s="15"/>
      <c r="J92" s="15"/>
      <c r="K92" s="15"/>
      <c r="L92" s="15"/>
      <c r="M92" s="15"/>
      <c r="N92" s="15"/>
      <c r="O92" s="15"/>
      <c r="P92" s="15"/>
      <c r="Q92" s="15"/>
      <c r="R92" s="15"/>
      <c r="S92" s="15"/>
      <c r="T92" s="15"/>
    </row>
    <row r="93" spans="1:20" s="14" customFormat="1" ht="15" customHeight="1">
      <c r="A93" s="21"/>
      <c r="B93" s="22"/>
      <c r="C93" s="23"/>
      <c r="D93" s="24"/>
      <c r="E93" s="23"/>
      <c r="F93" s="1082"/>
      <c r="H93" s="15"/>
      <c r="I93" s="15"/>
      <c r="J93" s="15"/>
      <c r="K93" s="15"/>
      <c r="L93" s="15"/>
      <c r="M93" s="15"/>
      <c r="N93" s="15"/>
      <c r="O93" s="15"/>
      <c r="P93" s="15"/>
      <c r="Q93" s="15"/>
      <c r="R93" s="15"/>
      <c r="S93" s="15"/>
      <c r="T93" s="15"/>
    </row>
    <row r="94" spans="1:20" s="14" customFormat="1" ht="15" customHeight="1">
      <c r="A94" s="21"/>
      <c r="B94" s="22"/>
      <c r="C94" s="23"/>
      <c r="D94" s="24"/>
      <c r="E94" s="23"/>
      <c r="F94" s="1082"/>
      <c r="H94" s="15"/>
      <c r="I94" s="15"/>
      <c r="J94" s="15"/>
      <c r="K94" s="15"/>
      <c r="L94" s="15"/>
      <c r="M94" s="15"/>
      <c r="N94" s="15"/>
      <c r="O94" s="15"/>
      <c r="P94" s="15"/>
      <c r="Q94" s="15"/>
      <c r="R94" s="15"/>
      <c r="S94" s="15"/>
      <c r="T94" s="15"/>
    </row>
    <row r="95" spans="1:20" s="14" customFormat="1" ht="15" customHeight="1">
      <c r="A95" s="21"/>
      <c r="B95" s="22"/>
      <c r="C95" s="23"/>
      <c r="D95" s="24"/>
      <c r="E95" s="23"/>
      <c r="F95" s="1082"/>
      <c r="H95" s="15"/>
      <c r="I95" s="15"/>
      <c r="J95" s="15"/>
      <c r="K95" s="15"/>
      <c r="L95" s="15"/>
      <c r="M95" s="15"/>
      <c r="N95" s="15"/>
      <c r="O95" s="15"/>
      <c r="P95" s="15"/>
      <c r="Q95" s="15"/>
      <c r="R95" s="15"/>
      <c r="S95" s="15"/>
      <c r="T95" s="15"/>
    </row>
    <row r="96" spans="1:20" s="14" customFormat="1" ht="15" customHeight="1">
      <c r="A96" s="21"/>
      <c r="B96" s="22"/>
      <c r="C96" s="23"/>
      <c r="D96" s="24"/>
      <c r="E96" s="23"/>
      <c r="F96" s="1082"/>
      <c r="H96" s="15"/>
      <c r="I96" s="15"/>
      <c r="J96" s="15"/>
      <c r="K96" s="15"/>
      <c r="L96" s="15"/>
      <c r="M96" s="15"/>
      <c r="N96" s="15"/>
      <c r="O96" s="15"/>
      <c r="P96" s="15"/>
      <c r="Q96" s="15"/>
      <c r="R96" s="15"/>
      <c r="S96" s="15"/>
      <c r="T96" s="15"/>
    </row>
    <row r="97" spans="1:20" s="14" customFormat="1" ht="15" customHeight="1">
      <c r="A97" s="21"/>
      <c r="B97" s="22"/>
      <c r="C97" s="23"/>
      <c r="D97" s="24"/>
      <c r="E97" s="23"/>
      <c r="F97" s="1082"/>
      <c r="H97" s="15"/>
      <c r="I97" s="15"/>
      <c r="J97" s="15"/>
      <c r="K97" s="15"/>
      <c r="L97" s="15"/>
      <c r="M97" s="15"/>
      <c r="N97" s="15"/>
      <c r="O97" s="15"/>
      <c r="P97" s="15"/>
      <c r="Q97" s="15"/>
      <c r="R97" s="15"/>
      <c r="S97" s="15"/>
      <c r="T97" s="15"/>
    </row>
    <row r="98" spans="1:20" s="14" customFormat="1" ht="15" customHeight="1">
      <c r="A98" s="21"/>
      <c r="B98" s="22"/>
      <c r="C98" s="23"/>
      <c r="D98" s="24"/>
      <c r="E98" s="23"/>
      <c r="F98" s="1082"/>
      <c r="H98" s="15"/>
      <c r="I98" s="15"/>
      <c r="J98" s="15"/>
      <c r="K98" s="15"/>
      <c r="L98" s="15"/>
      <c r="M98" s="15"/>
      <c r="N98" s="15"/>
      <c r="O98" s="15"/>
      <c r="P98" s="15"/>
      <c r="Q98" s="15"/>
      <c r="R98" s="15"/>
      <c r="S98" s="15"/>
      <c r="T98" s="15"/>
    </row>
    <row r="99" spans="1:20" s="14" customFormat="1" ht="15" customHeight="1">
      <c r="A99" s="21"/>
      <c r="B99" s="22"/>
      <c r="C99" s="23"/>
      <c r="D99" s="24"/>
      <c r="E99" s="23"/>
      <c r="F99" s="1082"/>
      <c r="H99" s="15"/>
      <c r="I99" s="15"/>
      <c r="J99" s="15"/>
      <c r="K99" s="15"/>
      <c r="L99" s="15"/>
      <c r="M99" s="15"/>
      <c r="N99" s="15"/>
      <c r="O99" s="15"/>
      <c r="P99" s="15"/>
      <c r="Q99" s="15"/>
      <c r="R99" s="15"/>
      <c r="S99" s="15"/>
      <c r="T99" s="15"/>
    </row>
    <row r="100" spans="1:20" s="14" customFormat="1" ht="15" customHeight="1">
      <c r="A100" s="21"/>
      <c r="B100" s="22"/>
      <c r="C100" s="23"/>
      <c r="D100" s="24"/>
      <c r="E100" s="23"/>
      <c r="F100" s="1082"/>
      <c r="H100" s="15"/>
      <c r="I100" s="15"/>
      <c r="J100" s="15"/>
      <c r="K100" s="15"/>
      <c r="L100" s="15"/>
      <c r="M100" s="15"/>
      <c r="N100" s="15"/>
      <c r="O100" s="15"/>
      <c r="P100" s="15"/>
      <c r="Q100" s="15"/>
      <c r="R100" s="15"/>
      <c r="S100" s="15"/>
      <c r="T100" s="15"/>
    </row>
    <row r="101" spans="1:20" s="14" customFormat="1" ht="15" customHeight="1">
      <c r="A101" s="21"/>
      <c r="B101" s="22"/>
      <c r="C101" s="23"/>
      <c r="D101" s="24"/>
      <c r="E101" s="23"/>
      <c r="F101" s="1082"/>
      <c r="H101" s="15"/>
      <c r="I101" s="15"/>
      <c r="J101" s="15"/>
      <c r="K101" s="15"/>
      <c r="L101" s="15"/>
      <c r="M101" s="15"/>
      <c r="N101" s="15"/>
      <c r="O101" s="15"/>
      <c r="P101" s="15"/>
      <c r="Q101" s="15"/>
      <c r="R101" s="15"/>
      <c r="S101" s="15"/>
      <c r="T101" s="15"/>
    </row>
    <row r="102" spans="1:20" s="14" customFormat="1" ht="15" customHeight="1">
      <c r="A102" s="21"/>
      <c r="B102" s="22"/>
      <c r="C102" s="23"/>
      <c r="D102" s="24"/>
      <c r="E102" s="23"/>
      <c r="F102" s="1082"/>
      <c r="H102" s="15"/>
      <c r="I102" s="15"/>
      <c r="J102" s="15"/>
      <c r="K102" s="15"/>
      <c r="L102" s="15"/>
      <c r="M102" s="15"/>
      <c r="N102" s="15"/>
      <c r="O102" s="15"/>
      <c r="P102" s="15"/>
      <c r="Q102" s="15"/>
      <c r="R102" s="15"/>
      <c r="S102" s="15"/>
      <c r="T102" s="15"/>
    </row>
    <row r="103" spans="1:20" s="14" customFormat="1" ht="15" customHeight="1">
      <c r="A103" s="21"/>
      <c r="B103" s="22"/>
      <c r="C103" s="23"/>
      <c r="D103" s="24"/>
      <c r="E103" s="23"/>
      <c r="F103" s="1082"/>
      <c r="H103" s="15"/>
      <c r="I103" s="15"/>
      <c r="J103" s="15"/>
      <c r="K103" s="15"/>
      <c r="L103" s="15"/>
      <c r="M103" s="15"/>
      <c r="N103" s="15"/>
      <c r="O103" s="15"/>
      <c r="P103" s="15"/>
      <c r="Q103" s="15"/>
      <c r="R103" s="15"/>
      <c r="S103" s="15"/>
      <c r="T103" s="15"/>
    </row>
    <row r="104" spans="1:20" s="14" customFormat="1" ht="15" customHeight="1">
      <c r="A104" s="21"/>
      <c r="B104" s="22"/>
      <c r="C104" s="23"/>
      <c r="D104" s="24"/>
      <c r="E104" s="23"/>
      <c r="F104" s="1082"/>
      <c r="H104" s="15"/>
      <c r="I104" s="15"/>
      <c r="J104" s="15"/>
      <c r="K104" s="15"/>
      <c r="L104" s="15"/>
      <c r="M104" s="15"/>
      <c r="N104" s="15"/>
      <c r="O104" s="15"/>
      <c r="P104" s="15"/>
      <c r="Q104" s="15"/>
      <c r="R104" s="15"/>
      <c r="S104" s="15"/>
      <c r="T104" s="15"/>
    </row>
    <row r="105" spans="1:20" s="14" customFormat="1" ht="15" customHeight="1">
      <c r="A105" s="21"/>
      <c r="B105" s="22"/>
      <c r="C105" s="23"/>
      <c r="D105" s="24"/>
      <c r="E105" s="23"/>
      <c r="F105" s="1082"/>
      <c r="H105" s="15"/>
      <c r="I105" s="15"/>
      <c r="J105" s="15"/>
      <c r="K105" s="15"/>
      <c r="L105" s="15"/>
      <c r="M105" s="15"/>
      <c r="N105" s="15"/>
      <c r="O105" s="15"/>
      <c r="P105" s="15"/>
      <c r="Q105" s="15"/>
      <c r="R105" s="15"/>
      <c r="S105" s="15"/>
      <c r="T105" s="15"/>
    </row>
    <row r="106" spans="1:20" s="14" customFormat="1" ht="15" customHeight="1">
      <c r="A106" s="21"/>
      <c r="B106" s="22"/>
      <c r="C106" s="23"/>
      <c r="D106" s="24"/>
      <c r="E106" s="23"/>
      <c r="F106" s="1082"/>
      <c r="H106" s="15"/>
      <c r="I106" s="15"/>
      <c r="J106" s="15"/>
      <c r="K106" s="15"/>
      <c r="L106" s="15"/>
      <c r="M106" s="15"/>
      <c r="N106" s="15"/>
      <c r="O106" s="15"/>
      <c r="P106" s="15"/>
      <c r="Q106" s="15"/>
      <c r="R106" s="15"/>
      <c r="S106" s="15"/>
      <c r="T106" s="15"/>
    </row>
    <row r="107" spans="1:20" s="14" customFormat="1" ht="15" customHeight="1">
      <c r="A107" s="21"/>
      <c r="B107" s="22"/>
      <c r="C107" s="23"/>
      <c r="D107" s="24"/>
      <c r="E107" s="23"/>
      <c r="F107" s="1082"/>
      <c r="H107" s="15"/>
      <c r="I107" s="15"/>
      <c r="J107" s="15"/>
      <c r="K107" s="15"/>
      <c r="L107" s="15"/>
      <c r="M107" s="15"/>
      <c r="N107" s="15"/>
      <c r="O107" s="15"/>
      <c r="P107" s="15"/>
      <c r="Q107" s="15"/>
      <c r="R107" s="15"/>
      <c r="S107" s="15"/>
      <c r="T107" s="15"/>
    </row>
    <row r="108" spans="1:20" s="14" customFormat="1" ht="15" customHeight="1">
      <c r="A108" s="21"/>
      <c r="B108" s="22"/>
      <c r="C108" s="23"/>
      <c r="D108" s="24"/>
      <c r="E108" s="23"/>
      <c r="F108" s="1082"/>
      <c r="H108" s="15"/>
      <c r="I108" s="15"/>
      <c r="J108" s="15"/>
      <c r="K108" s="15"/>
      <c r="L108" s="15"/>
      <c r="M108" s="15"/>
      <c r="N108" s="15"/>
      <c r="O108" s="15"/>
      <c r="P108" s="15"/>
      <c r="Q108" s="15"/>
      <c r="R108" s="15"/>
      <c r="S108" s="15"/>
      <c r="T108" s="15"/>
    </row>
    <row r="109" spans="1:20" s="14" customFormat="1" ht="15" customHeight="1">
      <c r="A109" s="21"/>
      <c r="B109" s="22"/>
      <c r="C109" s="23"/>
      <c r="D109" s="24"/>
      <c r="E109" s="23"/>
      <c r="F109" s="1082"/>
      <c r="H109" s="15"/>
      <c r="I109" s="15"/>
      <c r="J109" s="15"/>
      <c r="K109" s="15"/>
      <c r="L109" s="15"/>
      <c r="M109" s="15"/>
      <c r="N109" s="15"/>
      <c r="O109" s="15"/>
      <c r="P109" s="15"/>
      <c r="Q109" s="15"/>
      <c r="R109" s="15"/>
      <c r="S109" s="15"/>
      <c r="T109" s="15"/>
    </row>
    <row r="110" spans="1:20" s="14" customFormat="1" ht="15" customHeight="1">
      <c r="A110" s="21"/>
      <c r="B110" s="22"/>
      <c r="C110" s="23"/>
      <c r="D110" s="24"/>
      <c r="E110" s="23"/>
      <c r="F110" s="1082"/>
      <c r="H110" s="15"/>
      <c r="I110" s="15"/>
      <c r="J110" s="15"/>
      <c r="K110" s="15"/>
      <c r="L110" s="15"/>
      <c r="M110" s="15"/>
      <c r="N110" s="15"/>
      <c r="O110" s="15"/>
      <c r="P110" s="15"/>
      <c r="Q110" s="15"/>
      <c r="R110" s="15"/>
      <c r="S110" s="15"/>
      <c r="T110" s="15"/>
    </row>
    <row r="111" spans="1:20" s="14" customFormat="1" ht="15" customHeight="1">
      <c r="A111" s="21"/>
      <c r="B111" s="22"/>
      <c r="C111" s="23"/>
      <c r="D111" s="24"/>
      <c r="E111" s="23"/>
      <c r="F111" s="1082"/>
      <c r="H111" s="15"/>
      <c r="I111" s="15"/>
      <c r="J111" s="15"/>
      <c r="K111" s="15"/>
      <c r="L111" s="15"/>
      <c r="M111" s="15"/>
      <c r="N111" s="15"/>
      <c r="O111" s="15"/>
      <c r="P111" s="15"/>
      <c r="Q111" s="15"/>
      <c r="R111" s="15"/>
      <c r="S111" s="15"/>
      <c r="T111" s="15"/>
    </row>
    <row r="112" spans="1:20" s="14" customFormat="1" ht="15" customHeight="1">
      <c r="A112" s="21"/>
      <c r="B112" s="22"/>
      <c r="C112" s="23"/>
      <c r="D112" s="24"/>
      <c r="E112" s="23"/>
      <c r="F112" s="1082"/>
      <c r="H112" s="15"/>
      <c r="I112" s="15"/>
      <c r="J112" s="15"/>
      <c r="K112" s="15"/>
      <c r="L112" s="15"/>
      <c r="M112" s="15"/>
      <c r="N112" s="15"/>
      <c r="O112" s="15"/>
      <c r="P112" s="15"/>
      <c r="Q112" s="15"/>
      <c r="R112" s="15"/>
      <c r="S112" s="15"/>
      <c r="T112" s="15"/>
    </row>
    <row r="113" spans="1:20" s="14" customFormat="1" ht="15" customHeight="1">
      <c r="A113" s="21"/>
      <c r="B113" s="22"/>
      <c r="C113" s="23"/>
      <c r="D113" s="24"/>
      <c r="E113" s="23"/>
      <c r="F113" s="1082"/>
      <c r="H113" s="15"/>
      <c r="I113" s="15"/>
      <c r="J113" s="15"/>
      <c r="K113" s="15"/>
      <c r="L113" s="15"/>
      <c r="M113" s="15"/>
      <c r="N113" s="15"/>
      <c r="O113" s="15"/>
      <c r="P113" s="15"/>
      <c r="Q113" s="15"/>
      <c r="R113" s="15"/>
      <c r="S113" s="15"/>
      <c r="T113" s="15"/>
    </row>
    <row r="114" spans="1:20" s="14" customFormat="1" ht="15" customHeight="1">
      <c r="A114" s="21"/>
      <c r="B114" s="22"/>
      <c r="C114" s="23"/>
      <c r="D114" s="24"/>
      <c r="E114" s="23"/>
      <c r="F114" s="1082"/>
      <c r="H114" s="15"/>
      <c r="I114" s="15"/>
      <c r="J114" s="15"/>
      <c r="K114" s="15"/>
      <c r="L114" s="15"/>
      <c r="M114" s="15"/>
      <c r="N114" s="15"/>
      <c r="O114" s="15"/>
      <c r="P114" s="15"/>
      <c r="Q114" s="15"/>
      <c r="R114" s="15"/>
      <c r="S114" s="15"/>
      <c r="T114" s="15"/>
    </row>
    <row r="115" spans="1:20" s="14" customFormat="1" ht="15" customHeight="1">
      <c r="A115" s="21"/>
      <c r="B115" s="22"/>
      <c r="C115" s="23"/>
      <c r="D115" s="24"/>
      <c r="E115" s="23"/>
      <c r="F115" s="1082"/>
      <c r="H115" s="15"/>
      <c r="I115" s="15"/>
      <c r="J115" s="15"/>
      <c r="K115" s="15"/>
      <c r="L115" s="15"/>
      <c r="M115" s="15"/>
      <c r="N115" s="15"/>
      <c r="O115" s="15"/>
      <c r="P115" s="15"/>
      <c r="Q115" s="15"/>
      <c r="R115" s="15"/>
      <c r="S115" s="15"/>
      <c r="T115" s="15"/>
    </row>
    <row r="116" spans="1:20" s="14" customFormat="1" ht="15" customHeight="1">
      <c r="A116" s="21"/>
      <c r="B116" s="22"/>
      <c r="C116" s="23"/>
      <c r="D116" s="24"/>
      <c r="E116" s="23"/>
      <c r="F116" s="1082"/>
      <c r="H116" s="15"/>
      <c r="I116" s="15"/>
      <c r="J116" s="15"/>
      <c r="K116" s="15"/>
      <c r="L116" s="15"/>
      <c r="M116" s="15"/>
      <c r="N116" s="15"/>
      <c r="O116" s="15"/>
      <c r="P116" s="15"/>
      <c r="Q116" s="15"/>
      <c r="R116" s="15"/>
      <c r="S116" s="15"/>
      <c r="T116" s="15"/>
    </row>
    <row r="117" spans="1:20" s="14" customFormat="1" ht="15" customHeight="1">
      <c r="A117" s="21"/>
      <c r="B117" s="22"/>
      <c r="C117" s="23"/>
      <c r="D117" s="24"/>
      <c r="E117" s="23"/>
      <c r="F117" s="1082"/>
      <c r="H117" s="15"/>
      <c r="I117" s="15"/>
      <c r="J117" s="15"/>
      <c r="K117" s="15"/>
      <c r="L117" s="15"/>
      <c r="M117" s="15"/>
      <c r="N117" s="15"/>
      <c r="O117" s="15"/>
      <c r="P117" s="15"/>
      <c r="Q117" s="15"/>
      <c r="R117" s="15"/>
      <c r="S117" s="15"/>
      <c r="T117" s="15"/>
    </row>
    <row r="118" spans="1:20" s="14" customFormat="1" ht="15" customHeight="1">
      <c r="A118" s="21"/>
      <c r="B118" s="22"/>
      <c r="C118" s="23"/>
      <c r="D118" s="24"/>
      <c r="E118" s="23"/>
      <c r="F118" s="1082"/>
      <c r="H118" s="15"/>
      <c r="I118" s="15"/>
      <c r="J118" s="15"/>
      <c r="K118" s="15"/>
      <c r="L118" s="15"/>
      <c r="M118" s="15"/>
      <c r="N118" s="15"/>
      <c r="O118" s="15"/>
      <c r="P118" s="15"/>
      <c r="Q118" s="15"/>
      <c r="R118" s="15"/>
      <c r="S118" s="15"/>
      <c r="T118" s="15"/>
    </row>
    <row r="119" spans="1:20" s="14" customFormat="1" ht="15" customHeight="1">
      <c r="A119" s="21"/>
      <c r="B119" s="22"/>
      <c r="C119" s="23"/>
      <c r="D119" s="24"/>
      <c r="E119" s="23"/>
      <c r="F119" s="1082"/>
      <c r="H119" s="15"/>
      <c r="I119" s="15"/>
      <c r="J119" s="15"/>
      <c r="K119" s="15"/>
      <c r="L119" s="15"/>
      <c r="M119" s="15"/>
      <c r="N119" s="15"/>
      <c r="O119" s="15"/>
      <c r="P119" s="15"/>
      <c r="Q119" s="15"/>
      <c r="R119" s="15"/>
      <c r="S119" s="15"/>
      <c r="T119" s="15"/>
    </row>
    <row r="120" spans="1:20" s="14" customFormat="1" ht="15" customHeight="1">
      <c r="A120" s="21"/>
      <c r="B120" s="22"/>
      <c r="C120" s="23"/>
      <c r="D120" s="24"/>
      <c r="E120" s="23"/>
      <c r="F120" s="1082"/>
      <c r="H120" s="15"/>
      <c r="I120" s="15"/>
      <c r="J120" s="15"/>
      <c r="K120" s="15"/>
      <c r="L120" s="15"/>
      <c r="M120" s="15"/>
      <c r="N120" s="15"/>
      <c r="O120" s="15"/>
      <c r="P120" s="15"/>
      <c r="Q120" s="15"/>
      <c r="R120" s="15"/>
      <c r="S120" s="15"/>
      <c r="T120" s="15"/>
    </row>
    <row r="121" spans="1:20" s="14" customFormat="1" ht="15" customHeight="1">
      <c r="A121" s="21"/>
      <c r="B121" s="22"/>
      <c r="C121" s="23"/>
      <c r="D121" s="24"/>
      <c r="E121" s="23"/>
      <c r="F121" s="1082"/>
      <c r="H121" s="15"/>
      <c r="I121" s="15"/>
      <c r="J121" s="15"/>
      <c r="K121" s="15"/>
      <c r="L121" s="15"/>
      <c r="M121" s="15"/>
      <c r="N121" s="15"/>
      <c r="O121" s="15"/>
      <c r="P121" s="15"/>
      <c r="Q121" s="15"/>
      <c r="R121" s="15"/>
      <c r="S121" s="15"/>
      <c r="T121" s="15"/>
    </row>
    <row r="122" spans="1:20" s="14" customFormat="1" ht="15" customHeight="1">
      <c r="A122" s="21"/>
      <c r="B122" s="22"/>
      <c r="C122" s="23"/>
      <c r="D122" s="24"/>
      <c r="E122" s="23"/>
      <c r="F122" s="1082"/>
      <c r="H122" s="15"/>
      <c r="I122" s="15"/>
      <c r="J122" s="15"/>
      <c r="K122" s="15"/>
      <c r="L122" s="15"/>
      <c r="M122" s="15"/>
      <c r="N122" s="15"/>
      <c r="O122" s="15"/>
      <c r="P122" s="15"/>
      <c r="Q122" s="15"/>
      <c r="R122" s="15"/>
      <c r="S122" s="15"/>
      <c r="T122" s="15"/>
    </row>
    <row r="123" spans="1:20" s="14" customFormat="1" ht="15" customHeight="1">
      <c r="A123" s="21"/>
      <c r="B123" s="22"/>
      <c r="C123" s="23"/>
      <c r="D123" s="24"/>
      <c r="E123" s="23"/>
      <c r="F123" s="1082"/>
      <c r="H123" s="15"/>
      <c r="I123" s="15"/>
      <c r="J123" s="15"/>
      <c r="K123" s="15"/>
      <c r="L123" s="15"/>
      <c r="M123" s="15"/>
      <c r="N123" s="15"/>
      <c r="O123" s="15"/>
      <c r="P123" s="15"/>
      <c r="Q123" s="15"/>
      <c r="R123" s="15"/>
      <c r="S123" s="15"/>
      <c r="T123" s="15"/>
    </row>
    <row r="124" spans="1:20" s="14" customFormat="1" ht="15" customHeight="1">
      <c r="A124" s="21"/>
      <c r="B124" s="22"/>
      <c r="C124" s="23"/>
      <c r="D124" s="24"/>
      <c r="E124" s="23"/>
      <c r="F124" s="1082"/>
      <c r="H124" s="15"/>
      <c r="I124" s="15"/>
      <c r="J124" s="15"/>
      <c r="K124" s="15"/>
      <c r="L124" s="15"/>
      <c r="M124" s="15"/>
      <c r="N124" s="15"/>
      <c r="O124" s="15"/>
      <c r="P124" s="15"/>
      <c r="Q124" s="15"/>
      <c r="R124" s="15"/>
      <c r="S124" s="15"/>
      <c r="T124" s="15"/>
    </row>
    <row r="125" spans="1:20" s="14" customFormat="1" ht="15" customHeight="1">
      <c r="A125" s="21"/>
      <c r="B125" s="22"/>
      <c r="C125" s="23"/>
      <c r="D125" s="24"/>
      <c r="E125" s="23"/>
      <c r="F125" s="1082"/>
      <c r="H125" s="15"/>
      <c r="I125" s="15"/>
      <c r="J125" s="15"/>
      <c r="K125" s="15"/>
      <c r="L125" s="15"/>
      <c r="M125" s="15"/>
      <c r="N125" s="15"/>
      <c r="O125" s="15"/>
      <c r="P125" s="15"/>
      <c r="Q125" s="15"/>
      <c r="R125" s="15"/>
      <c r="S125" s="15"/>
      <c r="T125" s="15"/>
    </row>
    <row r="126" spans="1:20" s="14" customFormat="1" ht="15" customHeight="1">
      <c r="A126" s="21"/>
      <c r="B126" s="22"/>
      <c r="C126" s="23"/>
      <c r="D126" s="24"/>
      <c r="E126" s="23"/>
      <c r="F126" s="1082"/>
      <c r="H126" s="15"/>
      <c r="I126" s="15"/>
      <c r="J126" s="15"/>
      <c r="K126" s="15"/>
      <c r="L126" s="15"/>
      <c r="M126" s="15"/>
      <c r="N126" s="15"/>
      <c r="O126" s="15"/>
      <c r="P126" s="15"/>
      <c r="Q126" s="15"/>
      <c r="R126" s="15"/>
      <c r="S126" s="15"/>
      <c r="T126" s="15"/>
    </row>
    <row r="127" spans="1:20" s="14" customFormat="1" ht="15" customHeight="1">
      <c r="A127" s="21"/>
      <c r="B127" s="22"/>
      <c r="C127" s="23"/>
      <c r="D127" s="24"/>
      <c r="E127" s="23"/>
      <c r="F127" s="1082"/>
      <c r="H127" s="15"/>
      <c r="I127" s="15"/>
      <c r="J127" s="15"/>
      <c r="K127" s="15"/>
      <c r="L127" s="15"/>
      <c r="M127" s="15"/>
      <c r="N127" s="15"/>
      <c r="O127" s="15"/>
      <c r="P127" s="15"/>
      <c r="Q127" s="15"/>
      <c r="R127" s="15"/>
      <c r="S127" s="15"/>
      <c r="T127" s="15"/>
    </row>
    <row r="128" spans="1:20" s="14" customFormat="1" ht="15" customHeight="1">
      <c r="A128" s="21"/>
      <c r="B128" s="22"/>
      <c r="C128" s="23"/>
      <c r="D128" s="24"/>
      <c r="E128" s="23"/>
      <c r="F128" s="1082"/>
      <c r="H128" s="15"/>
      <c r="I128" s="15"/>
      <c r="J128" s="15"/>
      <c r="K128" s="15"/>
      <c r="L128" s="15"/>
      <c r="M128" s="15"/>
      <c r="N128" s="15"/>
      <c r="O128" s="15"/>
      <c r="P128" s="15"/>
      <c r="Q128" s="15"/>
      <c r="R128" s="15"/>
      <c r="S128" s="15"/>
      <c r="T128" s="15"/>
    </row>
    <row r="129" spans="1:20" s="14" customFormat="1" ht="15" customHeight="1">
      <c r="A129" s="21"/>
      <c r="B129" s="22"/>
      <c r="C129" s="23"/>
      <c r="D129" s="24"/>
      <c r="E129" s="23"/>
      <c r="F129" s="1082"/>
      <c r="H129" s="15"/>
      <c r="I129" s="15"/>
      <c r="J129" s="15"/>
      <c r="K129" s="15"/>
      <c r="L129" s="15"/>
      <c r="M129" s="15"/>
      <c r="N129" s="15"/>
      <c r="O129" s="15"/>
      <c r="P129" s="15"/>
      <c r="Q129" s="15"/>
      <c r="R129" s="15"/>
      <c r="S129" s="15"/>
      <c r="T129" s="15"/>
    </row>
    <row r="130" spans="1:20" s="14" customFormat="1" ht="15" customHeight="1">
      <c r="A130" s="21"/>
      <c r="B130" s="22"/>
      <c r="C130" s="23"/>
      <c r="D130" s="24"/>
      <c r="E130" s="23"/>
      <c r="F130" s="1082"/>
      <c r="H130" s="15"/>
      <c r="I130" s="15"/>
      <c r="J130" s="15"/>
      <c r="K130" s="15"/>
      <c r="L130" s="15"/>
      <c r="M130" s="15"/>
      <c r="N130" s="15"/>
      <c r="O130" s="15"/>
      <c r="P130" s="15"/>
      <c r="Q130" s="15"/>
      <c r="R130" s="15"/>
      <c r="S130" s="15"/>
      <c r="T130" s="15"/>
    </row>
    <row r="131" spans="1:20" s="14" customFormat="1" ht="15" customHeight="1">
      <c r="A131" s="21"/>
      <c r="B131" s="22"/>
      <c r="C131" s="23"/>
      <c r="D131" s="24"/>
      <c r="E131" s="23"/>
      <c r="F131" s="1082"/>
      <c r="H131" s="15"/>
      <c r="I131" s="15"/>
      <c r="J131" s="15"/>
      <c r="K131" s="15"/>
      <c r="L131" s="15"/>
      <c r="M131" s="15"/>
      <c r="N131" s="15"/>
      <c r="O131" s="15"/>
      <c r="P131" s="15"/>
      <c r="Q131" s="15"/>
      <c r="R131" s="15"/>
      <c r="S131" s="15"/>
      <c r="T131" s="15"/>
    </row>
    <row r="132" spans="1:20" s="14" customFormat="1" ht="15" customHeight="1">
      <c r="A132" s="21"/>
      <c r="B132" s="22"/>
      <c r="C132" s="23"/>
      <c r="D132" s="24"/>
      <c r="E132" s="23"/>
      <c r="F132" s="1082"/>
      <c r="H132" s="15"/>
      <c r="I132" s="15"/>
      <c r="J132" s="15"/>
      <c r="K132" s="15"/>
      <c r="L132" s="15"/>
      <c r="M132" s="15"/>
      <c r="N132" s="15"/>
      <c r="O132" s="15"/>
      <c r="P132" s="15"/>
      <c r="Q132" s="15"/>
      <c r="R132" s="15"/>
      <c r="S132" s="15"/>
      <c r="T132" s="15"/>
    </row>
    <row r="133" spans="1:20" s="14" customFormat="1" ht="15" customHeight="1">
      <c r="A133" s="21"/>
      <c r="B133" s="22"/>
      <c r="C133" s="23"/>
      <c r="D133" s="24"/>
      <c r="E133" s="23"/>
      <c r="F133" s="1082"/>
      <c r="H133" s="15"/>
      <c r="I133" s="15"/>
      <c r="J133" s="15"/>
      <c r="K133" s="15"/>
      <c r="L133" s="15"/>
      <c r="M133" s="15"/>
      <c r="N133" s="15"/>
      <c r="O133" s="15"/>
      <c r="P133" s="15"/>
      <c r="Q133" s="15"/>
      <c r="R133" s="15"/>
      <c r="S133" s="15"/>
      <c r="T133" s="15"/>
    </row>
    <row r="134" spans="1:20" s="14" customFormat="1" ht="15" customHeight="1">
      <c r="A134" s="21"/>
      <c r="B134" s="22"/>
      <c r="C134" s="23"/>
      <c r="D134" s="24"/>
      <c r="E134" s="23"/>
      <c r="F134" s="1082"/>
      <c r="H134" s="15"/>
      <c r="I134" s="15"/>
      <c r="J134" s="15"/>
      <c r="K134" s="15"/>
      <c r="L134" s="15"/>
      <c r="M134" s="15"/>
      <c r="N134" s="15"/>
      <c r="O134" s="15"/>
      <c r="P134" s="15"/>
      <c r="Q134" s="15"/>
      <c r="R134" s="15"/>
      <c r="S134" s="15"/>
      <c r="T134" s="15"/>
    </row>
    <row r="135" spans="1:20" s="14" customFormat="1" ht="15" customHeight="1">
      <c r="A135" s="21"/>
      <c r="B135" s="22"/>
      <c r="C135" s="23"/>
      <c r="D135" s="24"/>
      <c r="E135" s="23"/>
      <c r="F135" s="1082"/>
      <c r="H135" s="15"/>
      <c r="I135" s="15"/>
      <c r="J135" s="15"/>
      <c r="K135" s="15"/>
      <c r="L135" s="15"/>
      <c r="M135" s="15"/>
      <c r="N135" s="15"/>
      <c r="O135" s="15"/>
      <c r="P135" s="15"/>
      <c r="Q135" s="15"/>
      <c r="R135" s="15"/>
      <c r="S135" s="15"/>
      <c r="T135" s="15"/>
    </row>
    <row r="136" spans="1:20" s="14" customFormat="1" ht="15" customHeight="1">
      <c r="A136" s="21"/>
      <c r="B136" s="22"/>
      <c r="C136" s="23"/>
      <c r="D136" s="24"/>
      <c r="E136" s="23"/>
      <c r="F136" s="1082"/>
      <c r="H136" s="15"/>
      <c r="I136" s="15"/>
      <c r="J136" s="15"/>
      <c r="K136" s="15"/>
      <c r="L136" s="15"/>
      <c r="M136" s="15"/>
      <c r="N136" s="15"/>
      <c r="O136" s="15"/>
      <c r="P136" s="15"/>
      <c r="Q136" s="15"/>
      <c r="R136" s="15"/>
      <c r="S136" s="15"/>
      <c r="T136" s="15"/>
    </row>
    <row r="137" spans="1:20" s="14" customFormat="1" ht="15" customHeight="1">
      <c r="A137" s="21"/>
      <c r="B137" s="22"/>
      <c r="C137" s="23"/>
      <c r="D137" s="24"/>
      <c r="E137" s="23"/>
      <c r="F137" s="1082"/>
      <c r="H137" s="15"/>
      <c r="I137" s="15"/>
      <c r="J137" s="15"/>
      <c r="K137" s="15"/>
      <c r="L137" s="15"/>
      <c r="M137" s="15"/>
      <c r="N137" s="15"/>
      <c r="O137" s="15"/>
      <c r="P137" s="15"/>
      <c r="Q137" s="15"/>
      <c r="R137" s="15"/>
      <c r="S137" s="15"/>
      <c r="T137" s="15"/>
    </row>
    <row r="138" spans="1:20" s="14" customFormat="1" ht="15" customHeight="1">
      <c r="A138" s="21"/>
      <c r="B138" s="22"/>
      <c r="C138" s="23"/>
      <c r="D138" s="24"/>
      <c r="E138" s="23"/>
      <c r="F138" s="1082"/>
      <c r="H138" s="15"/>
      <c r="I138" s="15"/>
      <c r="J138" s="15"/>
      <c r="K138" s="15"/>
      <c r="L138" s="15"/>
      <c r="M138" s="15"/>
      <c r="N138" s="15"/>
      <c r="O138" s="15"/>
      <c r="P138" s="15"/>
      <c r="Q138" s="15"/>
      <c r="R138" s="15"/>
      <c r="S138" s="15"/>
      <c r="T138" s="15"/>
    </row>
    <row r="139" spans="1:20" s="14" customFormat="1" ht="15" customHeight="1">
      <c r="A139" s="21"/>
      <c r="B139" s="22"/>
      <c r="C139" s="23"/>
      <c r="D139" s="24"/>
      <c r="E139" s="23"/>
      <c r="F139" s="1082"/>
      <c r="H139" s="15"/>
      <c r="I139" s="15"/>
      <c r="J139" s="15"/>
      <c r="K139" s="15"/>
      <c r="L139" s="15"/>
      <c r="M139" s="15"/>
      <c r="N139" s="15"/>
      <c r="O139" s="15"/>
      <c r="P139" s="15"/>
      <c r="Q139" s="15"/>
      <c r="R139" s="15"/>
      <c r="S139" s="15"/>
      <c r="T139" s="15"/>
    </row>
    <row r="140" spans="1:20" s="14" customFormat="1" ht="15" customHeight="1">
      <c r="A140" s="21"/>
      <c r="B140" s="22"/>
      <c r="C140" s="23"/>
      <c r="D140" s="24"/>
      <c r="E140" s="23"/>
      <c r="F140" s="1082"/>
      <c r="H140" s="15"/>
      <c r="I140" s="15"/>
      <c r="J140" s="15"/>
      <c r="K140" s="15"/>
      <c r="L140" s="15"/>
      <c r="M140" s="15"/>
      <c r="N140" s="15"/>
      <c r="O140" s="15"/>
      <c r="P140" s="15"/>
      <c r="Q140" s="15"/>
      <c r="R140" s="15"/>
      <c r="S140" s="15"/>
      <c r="T140" s="15"/>
    </row>
    <row r="141" spans="1:20" s="14" customFormat="1" ht="15" customHeight="1">
      <c r="A141" s="21"/>
      <c r="B141" s="22"/>
      <c r="C141" s="23"/>
      <c r="D141" s="24"/>
      <c r="E141" s="23"/>
      <c r="F141" s="1082"/>
      <c r="H141" s="15"/>
      <c r="I141" s="15"/>
      <c r="J141" s="15"/>
      <c r="K141" s="15"/>
      <c r="L141" s="15"/>
      <c r="M141" s="15"/>
      <c r="N141" s="15"/>
      <c r="O141" s="15"/>
      <c r="P141" s="15"/>
      <c r="Q141" s="15"/>
      <c r="R141" s="15"/>
      <c r="S141" s="15"/>
      <c r="T141" s="15"/>
    </row>
    <row r="142" spans="1:20" s="14" customFormat="1" ht="15" customHeight="1">
      <c r="A142" s="21"/>
      <c r="B142" s="22"/>
      <c r="C142" s="23"/>
      <c r="D142" s="24"/>
      <c r="E142" s="23"/>
      <c r="F142" s="1082"/>
      <c r="H142" s="15"/>
      <c r="I142" s="15"/>
      <c r="J142" s="15"/>
      <c r="K142" s="15"/>
      <c r="L142" s="15"/>
      <c r="M142" s="15"/>
      <c r="N142" s="15"/>
      <c r="O142" s="15"/>
      <c r="P142" s="15"/>
      <c r="Q142" s="15"/>
      <c r="R142" s="15"/>
      <c r="S142" s="15"/>
      <c r="T142" s="15"/>
    </row>
    <row r="143" spans="1:20" s="14" customFormat="1" ht="15" customHeight="1">
      <c r="A143" s="21"/>
      <c r="B143" s="22"/>
      <c r="C143" s="23"/>
      <c r="D143" s="24"/>
      <c r="E143" s="23"/>
      <c r="F143" s="1082"/>
      <c r="H143" s="15"/>
      <c r="I143" s="15"/>
      <c r="J143" s="15"/>
      <c r="K143" s="15"/>
      <c r="L143" s="15"/>
      <c r="M143" s="15"/>
      <c r="N143" s="15"/>
      <c r="O143" s="15"/>
      <c r="P143" s="15"/>
      <c r="Q143" s="15"/>
      <c r="R143" s="15"/>
      <c r="S143" s="15"/>
      <c r="T143" s="15"/>
    </row>
    <row r="144" spans="1:20" s="14" customFormat="1" ht="15" customHeight="1">
      <c r="A144" s="21"/>
      <c r="B144" s="22"/>
      <c r="C144" s="23"/>
      <c r="D144" s="24"/>
      <c r="E144" s="23"/>
      <c r="F144" s="1082"/>
      <c r="H144" s="15"/>
      <c r="I144" s="15"/>
      <c r="J144" s="15"/>
      <c r="K144" s="15"/>
      <c r="L144" s="15"/>
      <c r="M144" s="15"/>
      <c r="N144" s="15"/>
      <c r="O144" s="15"/>
      <c r="P144" s="15"/>
      <c r="Q144" s="15"/>
      <c r="R144" s="15"/>
      <c r="S144" s="15"/>
      <c r="T144" s="15"/>
    </row>
    <row r="145" spans="1:20" s="14" customFormat="1" ht="15" customHeight="1">
      <c r="A145" s="21"/>
      <c r="B145" s="22"/>
      <c r="C145" s="23"/>
      <c r="D145" s="24"/>
      <c r="E145" s="23"/>
      <c r="F145" s="1082"/>
      <c r="H145" s="15"/>
      <c r="I145" s="15"/>
      <c r="J145" s="15"/>
      <c r="K145" s="15"/>
      <c r="L145" s="15"/>
      <c r="M145" s="15"/>
      <c r="N145" s="15"/>
      <c r="O145" s="15"/>
      <c r="P145" s="15"/>
      <c r="Q145" s="15"/>
      <c r="R145" s="15"/>
      <c r="S145" s="15"/>
      <c r="T145" s="15"/>
    </row>
    <row r="146" spans="1:20" s="14" customFormat="1" ht="15" customHeight="1">
      <c r="A146" s="21"/>
      <c r="B146" s="22"/>
      <c r="C146" s="23"/>
      <c r="D146" s="24"/>
      <c r="E146" s="23"/>
      <c r="F146" s="1082"/>
      <c r="H146" s="15"/>
      <c r="I146" s="15"/>
      <c r="J146" s="15"/>
      <c r="K146" s="15"/>
      <c r="L146" s="15"/>
      <c r="M146" s="15"/>
      <c r="N146" s="15"/>
      <c r="O146" s="15"/>
      <c r="P146" s="15"/>
      <c r="Q146" s="15"/>
      <c r="R146" s="15"/>
      <c r="S146" s="15"/>
      <c r="T146" s="15"/>
    </row>
    <row r="147" spans="1:20" s="14" customFormat="1" ht="15" customHeight="1">
      <c r="A147" s="21"/>
      <c r="B147" s="22"/>
      <c r="C147" s="23"/>
      <c r="D147" s="24"/>
      <c r="E147" s="23"/>
      <c r="F147" s="1082"/>
      <c r="H147" s="15"/>
      <c r="I147" s="15"/>
      <c r="J147" s="15"/>
      <c r="K147" s="15"/>
      <c r="L147" s="15"/>
      <c r="M147" s="15"/>
      <c r="N147" s="15"/>
      <c r="O147" s="15"/>
      <c r="P147" s="15"/>
      <c r="Q147" s="15"/>
      <c r="R147" s="15"/>
      <c r="S147" s="15"/>
      <c r="T147" s="15"/>
    </row>
    <row r="148" spans="1:20" s="14" customFormat="1" ht="15" customHeight="1">
      <c r="A148" s="21"/>
      <c r="B148" s="22"/>
      <c r="C148" s="23"/>
      <c r="D148" s="24"/>
      <c r="E148" s="23"/>
      <c r="F148" s="1082"/>
      <c r="H148" s="15"/>
      <c r="I148" s="15"/>
      <c r="J148" s="15"/>
      <c r="K148" s="15"/>
      <c r="L148" s="15"/>
      <c r="M148" s="15"/>
      <c r="N148" s="15"/>
      <c r="O148" s="15"/>
      <c r="P148" s="15"/>
      <c r="Q148" s="15"/>
      <c r="R148" s="15"/>
      <c r="S148" s="15"/>
      <c r="T148" s="15"/>
    </row>
    <row r="149" spans="1:20" s="14" customFormat="1" ht="15" customHeight="1">
      <c r="A149" s="21"/>
      <c r="B149" s="22"/>
      <c r="C149" s="23"/>
      <c r="D149" s="24"/>
      <c r="E149" s="23"/>
      <c r="F149" s="1082"/>
      <c r="H149" s="15"/>
      <c r="I149" s="15"/>
      <c r="J149" s="15"/>
      <c r="K149" s="15"/>
      <c r="L149" s="15"/>
      <c r="M149" s="15"/>
      <c r="N149" s="15"/>
      <c r="O149" s="15"/>
      <c r="P149" s="15"/>
      <c r="Q149" s="15"/>
      <c r="R149" s="15"/>
      <c r="S149" s="15"/>
      <c r="T149" s="15"/>
    </row>
    <row r="150" spans="1:20" s="14" customFormat="1" ht="15" customHeight="1">
      <c r="A150" s="21"/>
      <c r="B150" s="22"/>
      <c r="C150" s="23"/>
      <c r="D150" s="24"/>
      <c r="E150" s="23"/>
      <c r="F150" s="1082"/>
      <c r="H150" s="15"/>
      <c r="I150" s="15"/>
      <c r="J150" s="15"/>
      <c r="K150" s="15"/>
      <c r="L150" s="15"/>
      <c r="M150" s="15"/>
      <c r="N150" s="15"/>
      <c r="O150" s="15"/>
      <c r="P150" s="15"/>
      <c r="Q150" s="15"/>
      <c r="R150" s="15"/>
      <c r="S150" s="15"/>
      <c r="T150" s="15"/>
    </row>
    <row r="151" spans="1:20" s="14" customFormat="1" ht="15" customHeight="1">
      <c r="A151" s="21"/>
      <c r="B151" s="22"/>
      <c r="C151" s="23"/>
      <c r="D151" s="24"/>
      <c r="E151" s="23"/>
      <c r="F151" s="1082"/>
      <c r="H151" s="15"/>
      <c r="I151" s="15"/>
      <c r="J151" s="15"/>
      <c r="K151" s="15"/>
      <c r="L151" s="15"/>
      <c r="M151" s="15"/>
      <c r="N151" s="15"/>
      <c r="O151" s="15"/>
      <c r="P151" s="15"/>
      <c r="Q151" s="15"/>
      <c r="R151" s="15"/>
      <c r="S151" s="15"/>
      <c r="T151" s="15"/>
    </row>
    <row r="152" spans="1:20" s="14" customFormat="1" ht="15" customHeight="1">
      <c r="A152" s="21"/>
      <c r="B152" s="22"/>
      <c r="C152" s="23"/>
      <c r="D152" s="24"/>
      <c r="E152" s="23"/>
      <c r="F152" s="1082"/>
      <c r="H152" s="15"/>
      <c r="I152" s="15"/>
      <c r="J152" s="15"/>
      <c r="K152" s="15"/>
      <c r="L152" s="15"/>
      <c r="M152" s="15"/>
      <c r="N152" s="15"/>
      <c r="O152" s="15"/>
      <c r="P152" s="15"/>
      <c r="Q152" s="15"/>
      <c r="R152" s="15"/>
      <c r="S152" s="15"/>
      <c r="T152" s="15"/>
    </row>
    <row r="153" spans="1:20" s="14" customFormat="1" ht="15" customHeight="1">
      <c r="A153" s="21"/>
      <c r="B153" s="22"/>
      <c r="C153" s="23"/>
      <c r="D153" s="24"/>
      <c r="E153" s="23"/>
      <c r="F153" s="1082"/>
      <c r="H153" s="15"/>
      <c r="I153" s="15"/>
      <c r="J153" s="15"/>
      <c r="K153" s="15"/>
      <c r="L153" s="15"/>
      <c r="M153" s="15"/>
      <c r="N153" s="15"/>
      <c r="O153" s="15"/>
      <c r="P153" s="15"/>
      <c r="Q153" s="15"/>
      <c r="R153" s="15"/>
      <c r="S153" s="15"/>
      <c r="T153" s="15"/>
    </row>
    <row r="154" spans="1:20" s="14" customFormat="1" ht="15" customHeight="1">
      <c r="A154" s="21"/>
      <c r="B154" s="22"/>
      <c r="C154" s="23"/>
      <c r="D154" s="24"/>
      <c r="E154" s="23"/>
      <c r="F154" s="1082"/>
      <c r="H154" s="15"/>
      <c r="I154" s="15"/>
      <c r="J154" s="15"/>
      <c r="K154" s="15"/>
      <c r="L154" s="15"/>
      <c r="M154" s="15"/>
      <c r="N154" s="15"/>
      <c r="O154" s="15"/>
      <c r="P154" s="15"/>
      <c r="Q154" s="15"/>
      <c r="R154" s="15"/>
      <c r="S154" s="15"/>
      <c r="T154" s="15"/>
    </row>
    <row r="155" spans="1:20" s="14" customFormat="1" ht="15" customHeight="1">
      <c r="A155" s="21"/>
      <c r="B155" s="22"/>
      <c r="C155" s="23"/>
      <c r="D155" s="24"/>
      <c r="E155" s="23"/>
      <c r="F155" s="1082"/>
      <c r="H155" s="15"/>
      <c r="I155" s="15"/>
      <c r="J155" s="15"/>
      <c r="K155" s="15"/>
      <c r="L155" s="15"/>
      <c r="M155" s="15"/>
      <c r="N155" s="15"/>
      <c r="O155" s="15"/>
      <c r="P155" s="15"/>
      <c r="Q155" s="15"/>
      <c r="R155" s="15"/>
      <c r="S155" s="15"/>
      <c r="T155" s="15"/>
    </row>
    <row r="156" spans="1:20" s="14" customFormat="1" ht="15" customHeight="1">
      <c r="A156" s="21"/>
      <c r="B156" s="22"/>
      <c r="C156" s="23"/>
      <c r="D156" s="24"/>
      <c r="E156" s="23"/>
      <c r="F156" s="1082"/>
      <c r="H156" s="15"/>
      <c r="I156" s="15"/>
      <c r="J156" s="15"/>
      <c r="K156" s="15"/>
      <c r="L156" s="15"/>
      <c r="M156" s="15"/>
      <c r="N156" s="15"/>
      <c r="O156" s="15"/>
      <c r="P156" s="15"/>
      <c r="Q156" s="15"/>
      <c r="R156" s="15"/>
      <c r="S156" s="15"/>
      <c r="T156" s="15"/>
    </row>
    <row r="157" spans="1:20" s="14" customFormat="1" ht="15" customHeight="1">
      <c r="A157" s="21"/>
      <c r="B157" s="22"/>
      <c r="C157" s="23"/>
      <c r="D157" s="24"/>
      <c r="E157" s="23"/>
      <c r="F157" s="1082"/>
      <c r="H157" s="15"/>
      <c r="I157" s="15"/>
      <c r="J157" s="15"/>
      <c r="K157" s="15"/>
      <c r="L157" s="15"/>
      <c r="M157" s="15"/>
      <c r="N157" s="15"/>
      <c r="O157" s="15"/>
      <c r="P157" s="15"/>
      <c r="Q157" s="15"/>
      <c r="R157" s="15"/>
      <c r="S157" s="15"/>
      <c r="T157" s="15"/>
    </row>
    <row r="158" spans="1:20" s="14" customFormat="1" ht="15" customHeight="1">
      <c r="A158" s="21"/>
      <c r="B158" s="22"/>
      <c r="C158" s="23"/>
      <c r="D158" s="24"/>
      <c r="E158" s="23"/>
      <c r="F158" s="1082"/>
      <c r="H158" s="15"/>
      <c r="I158" s="15"/>
      <c r="J158" s="15"/>
      <c r="K158" s="15"/>
      <c r="L158" s="15"/>
      <c r="M158" s="15"/>
      <c r="N158" s="15"/>
      <c r="O158" s="15"/>
      <c r="P158" s="15"/>
      <c r="Q158" s="15"/>
      <c r="R158" s="15"/>
      <c r="S158" s="15"/>
      <c r="T158" s="15"/>
    </row>
    <row r="159" spans="1:20" s="14" customFormat="1" ht="15" customHeight="1">
      <c r="A159" s="21"/>
      <c r="B159" s="22"/>
      <c r="C159" s="23"/>
      <c r="D159" s="24"/>
      <c r="E159" s="23"/>
      <c r="F159" s="1082"/>
      <c r="H159" s="15"/>
      <c r="I159" s="15"/>
      <c r="J159" s="15"/>
      <c r="K159" s="15"/>
      <c r="L159" s="15"/>
      <c r="M159" s="15"/>
      <c r="N159" s="15"/>
      <c r="O159" s="15"/>
      <c r="P159" s="15"/>
      <c r="Q159" s="15"/>
      <c r="R159" s="15"/>
      <c r="S159" s="15"/>
      <c r="T159" s="15"/>
    </row>
    <row r="160" spans="1:20" s="14" customFormat="1" ht="15" customHeight="1">
      <c r="A160" s="21"/>
      <c r="B160" s="22"/>
      <c r="C160" s="23"/>
      <c r="D160" s="24"/>
      <c r="E160" s="23"/>
      <c r="F160" s="1082"/>
      <c r="H160" s="15"/>
      <c r="I160" s="15"/>
      <c r="J160" s="15"/>
      <c r="K160" s="15"/>
      <c r="L160" s="15"/>
      <c r="M160" s="15"/>
      <c r="N160" s="15"/>
      <c r="O160" s="15"/>
      <c r="P160" s="15"/>
      <c r="Q160" s="15"/>
      <c r="R160" s="15"/>
      <c r="S160" s="15"/>
      <c r="T160" s="15"/>
    </row>
    <row r="161" spans="1:20" s="14" customFormat="1" ht="15" customHeight="1">
      <c r="A161" s="21"/>
      <c r="B161" s="22"/>
      <c r="C161" s="23"/>
      <c r="D161" s="24"/>
      <c r="E161" s="23"/>
      <c r="F161" s="1082"/>
      <c r="H161" s="15"/>
      <c r="I161" s="15"/>
      <c r="J161" s="15"/>
      <c r="K161" s="15"/>
      <c r="L161" s="15"/>
      <c r="M161" s="15"/>
      <c r="N161" s="15"/>
      <c r="O161" s="15"/>
      <c r="P161" s="15"/>
      <c r="Q161" s="15"/>
      <c r="R161" s="15"/>
      <c r="S161" s="15"/>
      <c r="T161" s="15"/>
    </row>
    <row r="162" spans="1:20" s="14" customFormat="1" ht="15" customHeight="1">
      <c r="A162" s="21"/>
      <c r="B162" s="22"/>
      <c r="C162" s="23"/>
      <c r="D162" s="24"/>
      <c r="E162" s="23"/>
      <c r="F162" s="1082"/>
      <c r="H162" s="15"/>
      <c r="I162" s="15"/>
      <c r="J162" s="15"/>
      <c r="K162" s="15"/>
      <c r="L162" s="15"/>
      <c r="M162" s="15"/>
      <c r="N162" s="15"/>
      <c r="O162" s="15"/>
      <c r="P162" s="15"/>
      <c r="Q162" s="15"/>
      <c r="R162" s="15"/>
      <c r="S162" s="15"/>
      <c r="T162" s="15"/>
    </row>
    <row r="163" spans="1:20" s="14" customFormat="1" ht="15" customHeight="1">
      <c r="A163" s="21"/>
      <c r="B163" s="22"/>
      <c r="C163" s="23"/>
      <c r="D163" s="24"/>
      <c r="E163" s="23"/>
      <c r="F163" s="1082"/>
      <c r="H163" s="15"/>
      <c r="I163" s="15"/>
      <c r="J163" s="15"/>
      <c r="K163" s="15"/>
      <c r="L163" s="15"/>
      <c r="M163" s="15"/>
      <c r="N163" s="15"/>
      <c r="O163" s="15"/>
      <c r="P163" s="15"/>
      <c r="Q163" s="15"/>
      <c r="R163" s="15"/>
      <c r="S163" s="15"/>
      <c r="T163" s="15"/>
    </row>
    <row r="164" spans="1:20" s="14" customFormat="1" ht="15" customHeight="1">
      <c r="A164" s="21"/>
      <c r="B164" s="22"/>
      <c r="C164" s="23"/>
      <c r="D164" s="24"/>
      <c r="E164" s="23"/>
      <c r="F164" s="1082"/>
      <c r="H164" s="15"/>
      <c r="I164" s="15"/>
      <c r="J164" s="15"/>
      <c r="K164" s="15"/>
      <c r="L164" s="15"/>
      <c r="M164" s="15"/>
      <c r="N164" s="15"/>
      <c r="O164" s="15"/>
      <c r="P164" s="15"/>
      <c r="Q164" s="15"/>
      <c r="R164" s="15"/>
      <c r="S164" s="15"/>
      <c r="T164" s="15"/>
    </row>
    <row r="165" spans="1:20" s="14" customFormat="1" ht="15" customHeight="1">
      <c r="A165" s="21"/>
      <c r="B165" s="22"/>
      <c r="C165" s="23"/>
      <c r="D165" s="24"/>
      <c r="E165" s="23"/>
      <c r="F165" s="1082"/>
      <c r="H165" s="15"/>
      <c r="I165" s="15"/>
      <c r="J165" s="15"/>
      <c r="K165" s="15"/>
      <c r="L165" s="15"/>
      <c r="M165" s="15"/>
      <c r="N165" s="15"/>
      <c r="O165" s="15"/>
      <c r="P165" s="15"/>
      <c r="Q165" s="15"/>
      <c r="R165" s="15"/>
      <c r="S165" s="15"/>
      <c r="T165" s="15"/>
    </row>
    <row r="166" spans="1:20" s="14" customFormat="1" ht="15" customHeight="1">
      <c r="A166" s="21"/>
      <c r="B166" s="22"/>
      <c r="C166" s="23"/>
      <c r="D166" s="24"/>
      <c r="E166" s="23"/>
      <c r="F166" s="1082"/>
      <c r="H166" s="15"/>
      <c r="I166" s="15"/>
      <c r="J166" s="15"/>
      <c r="K166" s="15"/>
      <c r="L166" s="15"/>
      <c r="M166" s="15"/>
      <c r="N166" s="15"/>
      <c r="O166" s="15"/>
      <c r="P166" s="15"/>
      <c r="Q166" s="15"/>
      <c r="R166" s="15"/>
      <c r="S166" s="15"/>
      <c r="T166" s="15"/>
    </row>
    <row r="167" spans="1:20" s="14" customFormat="1" ht="15" customHeight="1">
      <c r="A167" s="21"/>
      <c r="B167" s="22"/>
      <c r="C167" s="23"/>
      <c r="D167" s="24"/>
      <c r="E167" s="23"/>
      <c r="F167" s="1082"/>
      <c r="H167" s="15"/>
      <c r="I167" s="15"/>
      <c r="J167" s="15"/>
      <c r="K167" s="15"/>
      <c r="L167" s="15"/>
      <c r="M167" s="15"/>
      <c r="N167" s="15"/>
      <c r="O167" s="15"/>
      <c r="P167" s="15"/>
      <c r="Q167" s="15"/>
      <c r="R167" s="15"/>
      <c r="S167" s="15"/>
      <c r="T167" s="15"/>
    </row>
    <row r="168" spans="1:20" s="14" customFormat="1" ht="15" customHeight="1">
      <c r="A168" s="21"/>
      <c r="B168" s="22"/>
      <c r="C168" s="23"/>
      <c r="D168" s="24"/>
      <c r="E168" s="23"/>
      <c r="F168" s="1082"/>
      <c r="H168" s="15"/>
      <c r="I168" s="15"/>
      <c r="J168" s="15"/>
      <c r="K168" s="15"/>
      <c r="L168" s="15"/>
      <c r="M168" s="15"/>
      <c r="N168" s="15"/>
      <c r="O168" s="15"/>
      <c r="P168" s="15"/>
      <c r="Q168" s="15"/>
      <c r="R168" s="15"/>
      <c r="S168" s="15"/>
      <c r="T168" s="15"/>
    </row>
    <row r="169" spans="1:20" s="14" customFormat="1" ht="15" customHeight="1">
      <c r="A169" s="21"/>
      <c r="B169" s="22"/>
      <c r="C169" s="23"/>
      <c r="D169" s="24"/>
      <c r="E169" s="23"/>
      <c r="F169" s="1082"/>
      <c r="H169" s="15"/>
      <c r="I169" s="15"/>
      <c r="J169" s="15"/>
      <c r="K169" s="15"/>
      <c r="L169" s="15"/>
      <c r="M169" s="15"/>
      <c r="N169" s="15"/>
      <c r="O169" s="15"/>
      <c r="P169" s="15"/>
      <c r="Q169" s="15"/>
      <c r="R169" s="15"/>
      <c r="S169" s="15"/>
      <c r="T169" s="15"/>
    </row>
    <row r="170" spans="1:20" s="14" customFormat="1" ht="15" customHeight="1">
      <c r="A170" s="21"/>
      <c r="B170" s="22"/>
      <c r="C170" s="23"/>
      <c r="D170" s="24"/>
      <c r="E170" s="23"/>
      <c r="F170" s="1082"/>
      <c r="H170" s="15"/>
      <c r="I170" s="15"/>
      <c r="J170" s="15"/>
      <c r="K170" s="15"/>
      <c r="L170" s="15"/>
      <c r="M170" s="15"/>
      <c r="N170" s="15"/>
      <c r="O170" s="15"/>
      <c r="P170" s="15"/>
      <c r="Q170" s="15"/>
      <c r="R170" s="15"/>
      <c r="S170" s="15"/>
      <c r="T170" s="15"/>
    </row>
    <row r="171" spans="1:20" s="14" customFormat="1" ht="15" customHeight="1">
      <c r="A171" s="21"/>
      <c r="B171" s="22"/>
      <c r="C171" s="23"/>
      <c r="D171" s="24"/>
      <c r="E171" s="23"/>
      <c r="F171" s="1082"/>
      <c r="H171" s="15"/>
      <c r="I171" s="15"/>
      <c r="J171" s="15"/>
      <c r="K171" s="15"/>
      <c r="L171" s="15"/>
      <c r="M171" s="15"/>
      <c r="N171" s="15"/>
      <c r="O171" s="15"/>
      <c r="P171" s="15"/>
      <c r="Q171" s="15"/>
      <c r="R171" s="15"/>
      <c r="S171" s="15"/>
      <c r="T171" s="15"/>
    </row>
    <row r="172" spans="1:20" s="14" customFormat="1" ht="15" customHeight="1">
      <c r="A172" s="21"/>
      <c r="B172" s="22"/>
      <c r="C172" s="23"/>
      <c r="D172" s="24"/>
      <c r="E172" s="23"/>
      <c r="F172" s="1082"/>
      <c r="H172" s="15"/>
      <c r="I172" s="15"/>
      <c r="J172" s="15"/>
      <c r="K172" s="15"/>
      <c r="L172" s="15"/>
      <c r="M172" s="15"/>
      <c r="N172" s="15"/>
      <c r="O172" s="15"/>
      <c r="P172" s="15"/>
      <c r="Q172" s="15"/>
      <c r="R172" s="15"/>
      <c r="S172" s="15"/>
      <c r="T172" s="15"/>
    </row>
    <row r="173" spans="1:20" s="14" customFormat="1" ht="15" customHeight="1">
      <c r="A173" s="21"/>
      <c r="B173" s="22"/>
      <c r="C173" s="23"/>
      <c r="D173" s="24"/>
      <c r="E173" s="23"/>
      <c r="F173" s="1082"/>
      <c r="H173" s="15"/>
      <c r="I173" s="15"/>
      <c r="J173" s="15"/>
      <c r="K173" s="15"/>
      <c r="L173" s="15"/>
      <c r="M173" s="15"/>
      <c r="N173" s="15"/>
      <c r="O173" s="15"/>
      <c r="P173" s="15"/>
      <c r="Q173" s="15"/>
      <c r="R173" s="15"/>
      <c r="S173" s="15"/>
      <c r="T173" s="15"/>
    </row>
    <row r="174" spans="1:20" s="14" customFormat="1" ht="15" customHeight="1">
      <c r="A174" s="21"/>
      <c r="B174" s="22"/>
      <c r="C174" s="23"/>
      <c r="D174" s="24"/>
      <c r="E174" s="23"/>
      <c r="F174" s="1082"/>
      <c r="H174" s="15"/>
      <c r="I174" s="15"/>
      <c r="J174" s="15"/>
      <c r="K174" s="15"/>
      <c r="L174" s="15"/>
      <c r="M174" s="15"/>
      <c r="N174" s="15"/>
      <c r="O174" s="15"/>
      <c r="P174" s="15"/>
      <c r="Q174" s="15"/>
      <c r="R174" s="15"/>
      <c r="S174" s="15"/>
      <c r="T174" s="15"/>
    </row>
    <row r="175" spans="1:20" s="14" customFormat="1" ht="15" customHeight="1">
      <c r="A175" s="21"/>
      <c r="B175" s="22"/>
      <c r="C175" s="23"/>
      <c r="D175" s="24"/>
      <c r="E175" s="23"/>
      <c r="F175" s="1082"/>
      <c r="H175" s="15"/>
      <c r="I175" s="15"/>
      <c r="J175" s="15"/>
      <c r="K175" s="15"/>
      <c r="L175" s="15"/>
      <c r="M175" s="15"/>
      <c r="N175" s="15"/>
      <c r="O175" s="15"/>
      <c r="P175" s="15"/>
      <c r="Q175" s="15"/>
      <c r="R175" s="15"/>
      <c r="S175" s="15"/>
      <c r="T175" s="15"/>
    </row>
    <row r="176" spans="1:20" s="14" customFormat="1" ht="15" customHeight="1">
      <c r="A176" s="21"/>
      <c r="B176" s="22"/>
      <c r="C176" s="23"/>
      <c r="D176" s="24"/>
      <c r="E176" s="23"/>
      <c r="F176" s="1082"/>
      <c r="H176" s="15"/>
      <c r="I176" s="15"/>
      <c r="J176" s="15"/>
      <c r="K176" s="15"/>
      <c r="L176" s="15"/>
      <c r="M176" s="15"/>
      <c r="N176" s="15"/>
      <c r="O176" s="15"/>
      <c r="P176" s="15"/>
      <c r="Q176" s="15"/>
      <c r="R176" s="15"/>
      <c r="S176" s="15"/>
      <c r="T176" s="15"/>
    </row>
    <row r="177" spans="1:20" s="14" customFormat="1" ht="15" customHeight="1">
      <c r="A177" s="21"/>
      <c r="B177" s="22"/>
      <c r="C177" s="23"/>
      <c r="D177" s="24"/>
      <c r="E177" s="23"/>
      <c r="F177" s="1082"/>
      <c r="H177" s="15"/>
      <c r="I177" s="15"/>
      <c r="J177" s="15"/>
      <c r="K177" s="15"/>
      <c r="L177" s="15"/>
      <c r="M177" s="15"/>
      <c r="N177" s="15"/>
      <c r="O177" s="15"/>
      <c r="P177" s="15"/>
      <c r="Q177" s="15"/>
      <c r="R177" s="15"/>
      <c r="S177" s="15"/>
      <c r="T177" s="15"/>
    </row>
    <row r="178" spans="1:20" s="14" customFormat="1" ht="15" customHeight="1">
      <c r="A178" s="21"/>
      <c r="B178" s="22"/>
      <c r="C178" s="23"/>
      <c r="D178" s="24"/>
      <c r="E178" s="23"/>
      <c r="F178" s="1082"/>
      <c r="H178" s="15"/>
      <c r="I178" s="15"/>
      <c r="J178" s="15"/>
      <c r="K178" s="15"/>
      <c r="L178" s="15"/>
      <c r="M178" s="15"/>
      <c r="N178" s="15"/>
      <c r="O178" s="15"/>
      <c r="P178" s="15"/>
      <c r="Q178" s="15"/>
      <c r="R178" s="15"/>
      <c r="S178" s="15"/>
      <c r="T178" s="15"/>
    </row>
    <row r="179" spans="1:20" s="14" customFormat="1" ht="15" customHeight="1">
      <c r="A179" s="21"/>
      <c r="B179" s="22"/>
      <c r="C179" s="23"/>
      <c r="D179" s="24"/>
      <c r="E179" s="23"/>
      <c r="F179" s="1082"/>
      <c r="H179" s="15"/>
      <c r="I179" s="15"/>
      <c r="J179" s="15"/>
      <c r="K179" s="15"/>
      <c r="L179" s="15"/>
      <c r="M179" s="15"/>
      <c r="N179" s="15"/>
      <c r="O179" s="15"/>
      <c r="P179" s="15"/>
      <c r="Q179" s="15"/>
      <c r="R179" s="15"/>
      <c r="S179" s="15"/>
      <c r="T179" s="15"/>
    </row>
    <row r="180" spans="1:20" s="14" customFormat="1" ht="15" customHeight="1">
      <c r="A180" s="21"/>
      <c r="B180" s="22"/>
      <c r="C180" s="23"/>
      <c r="D180" s="24"/>
      <c r="E180" s="23"/>
      <c r="F180" s="1082"/>
      <c r="H180" s="15"/>
      <c r="I180" s="15"/>
      <c r="J180" s="15"/>
      <c r="K180" s="15"/>
      <c r="L180" s="15"/>
      <c r="M180" s="15"/>
      <c r="N180" s="15"/>
      <c r="O180" s="15"/>
      <c r="P180" s="15"/>
      <c r="Q180" s="15"/>
      <c r="R180" s="15"/>
      <c r="S180" s="15"/>
      <c r="T180" s="15"/>
    </row>
    <row r="181" spans="1:20" s="14" customFormat="1" ht="15" customHeight="1">
      <c r="A181" s="21"/>
      <c r="B181" s="22"/>
      <c r="C181" s="23"/>
      <c r="D181" s="24"/>
      <c r="E181" s="23"/>
      <c r="F181" s="1082"/>
      <c r="H181" s="15"/>
      <c r="I181" s="15"/>
      <c r="J181" s="15"/>
      <c r="K181" s="15"/>
      <c r="L181" s="15"/>
      <c r="M181" s="15"/>
      <c r="N181" s="15"/>
      <c r="O181" s="15"/>
      <c r="P181" s="15"/>
      <c r="Q181" s="15"/>
      <c r="R181" s="15"/>
      <c r="S181" s="15"/>
      <c r="T181" s="15"/>
    </row>
    <row r="182" spans="1:20" s="14" customFormat="1" ht="15" customHeight="1">
      <c r="A182" s="21"/>
      <c r="B182" s="22"/>
      <c r="C182" s="23"/>
      <c r="D182" s="24"/>
      <c r="E182" s="23"/>
      <c r="F182" s="1082"/>
      <c r="H182" s="15"/>
      <c r="I182" s="15"/>
      <c r="J182" s="15"/>
      <c r="K182" s="15"/>
      <c r="L182" s="15"/>
      <c r="M182" s="15"/>
      <c r="N182" s="15"/>
      <c r="O182" s="15"/>
      <c r="P182" s="15"/>
      <c r="Q182" s="15"/>
      <c r="R182" s="15"/>
      <c r="S182" s="15"/>
      <c r="T182" s="15"/>
    </row>
    <row r="183" spans="1:20" s="14" customFormat="1" ht="15" customHeight="1">
      <c r="A183" s="21"/>
      <c r="B183" s="22"/>
      <c r="C183" s="23"/>
      <c r="D183" s="24"/>
      <c r="E183" s="23"/>
      <c r="F183" s="1082"/>
      <c r="H183" s="15"/>
      <c r="I183" s="15"/>
      <c r="J183" s="15"/>
      <c r="K183" s="15"/>
      <c r="L183" s="15"/>
      <c r="M183" s="15"/>
      <c r="N183" s="15"/>
      <c r="O183" s="15"/>
      <c r="P183" s="15"/>
      <c r="Q183" s="15"/>
      <c r="R183" s="15"/>
      <c r="S183" s="15"/>
      <c r="T183" s="15"/>
    </row>
    <row r="184" spans="1:20" s="14" customFormat="1" ht="15" customHeight="1">
      <c r="A184" s="21"/>
      <c r="B184" s="22"/>
      <c r="C184" s="23"/>
      <c r="D184" s="24"/>
      <c r="E184" s="23"/>
      <c r="F184" s="1082"/>
      <c r="H184" s="15"/>
      <c r="I184" s="15"/>
      <c r="J184" s="15"/>
      <c r="K184" s="15"/>
      <c r="L184" s="15"/>
      <c r="M184" s="15"/>
      <c r="N184" s="15"/>
      <c r="O184" s="15"/>
      <c r="P184" s="15"/>
      <c r="Q184" s="15"/>
      <c r="R184" s="15"/>
      <c r="S184" s="15"/>
      <c r="T184" s="15"/>
    </row>
    <row r="185" spans="1:20" s="14" customFormat="1" ht="15" customHeight="1">
      <c r="A185" s="21"/>
      <c r="B185" s="22"/>
      <c r="C185" s="23"/>
      <c r="D185" s="24"/>
      <c r="E185" s="23"/>
      <c r="F185" s="1082"/>
      <c r="H185" s="15"/>
      <c r="I185" s="15"/>
      <c r="J185" s="15"/>
      <c r="K185" s="15"/>
      <c r="L185" s="15"/>
      <c r="M185" s="15"/>
      <c r="N185" s="15"/>
      <c r="O185" s="15"/>
      <c r="P185" s="15"/>
      <c r="Q185" s="15"/>
      <c r="R185" s="15"/>
      <c r="S185" s="15"/>
      <c r="T185" s="15"/>
    </row>
    <row r="186" spans="1:20" s="14" customFormat="1" ht="15" customHeight="1">
      <c r="A186" s="21"/>
      <c r="B186" s="22"/>
      <c r="C186" s="23"/>
      <c r="D186" s="24"/>
      <c r="E186" s="23"/>
      <c r="F186" s="1082"/>
      <c r="H186" s="15"/>
      <c r="I186" s="15"/>
      <c r="J186" s="15"/>
      <c r="K186" s="15"/>
      <c r="L186" s="15"/>
      <c r="M186" s="15"/>
      <c r="N186" s="15"/>
      <c r="O186" s="15"/>
      <c r="P186" s="15"/>
      <c r="Q186" s="15"/>
      <c r="R186" s="15"/>
      <c r="S186" s="15"/>
      <c r="T186" s="15"/>
    </row>
    <row r="187" spans="1:20" s="14" customFormat="1" ht="15" customHeight="1">
      <c r="A187" s="21"/>
      <c r="B187" s="22"/>
      <c r="C187" s="23"/>
      <c r="D187" s="24"/>
      <c r="E187" s="23"/>
      <c r="F187" s="1082"/>
      <c r="H187" s="15"/>
      <c r="I187" s="15"/>
      <c r="J187" s="15"/>
      <c r="K187" s="15"/>
      <c r="L187" s="15"/>
      <c r="M187" s="15"/>
      <c r="N187" s="15"/>
      <c r="O187" s="15"/>
      <c r="P187" s="15"/>
      <c r="Q187" s="15"/>
      <c r="R187" s="15"/>
      <c r="S187" s="15"/>
      <c r="T187" s="15"/>
    </row>
    <row r="188" spans="1:20" s="14" customFormat="1" ht="15" customHeight="1">
      <c r="A188" s="21"/>
      <c r="B188" s="22"/>
      <c r="C188" s="23"/>
      <c r="D188" s="24"/>
      <c r="E188" s="23"/>
      <c r="F188" s="1082"/>
      <c r="H188" s="15"/>
      <c r="I188" s="15"/>
      <c r="J188" s="15"/>
      <c r="K188" s="15"/>
      <c r="L188" s="15"/>
      <c r="M188" s="15"/>
      <c r="N188" s="15"/>
      <c r="O188" s="15"/>
      <c r="P188" s="15"/>
      <c r="Q188" s="15"/>
      <c r="R188" s="15"/>
      <c r="S188" s="15"/>
      <c r="T188" s="15"/>
    </row>
    <row r="189" spans="1:20" s="14" customFormat="1" ht="15" customHeight="1">
      <c r="A189" s="21"/>
      <c r="B189" s="22"/>
      <c r="C189" s="23"/>
      <c r="D189" s="24"/>
      <c r="E189" s="23"/>
      <c r="F189" s="1082"/>
      <c r="H189" s="15"/>
      <c r="I189" s="15"/>
      <c r="J189" s="15"/>
      <c r="K189" s="15"/>
      <c r="L189" s="15"/>
      <c r="M189" s="15"/>
      <c r="N189" s="15"/>
      <c r="O189" s="15"/>
      <c r="P189" s="15"/>
      <c r="Q189" s="15"/>
      <c r="R189" s="15"/>
      <c r="S189" s="15"/>
      <c r="T189" s="15"/>
    </row>
    <row r="190" spans="1:20" s="14" customFormat="1" ht="15" customHeight="1">
      <c r="A190" s="21"/>
      <c r="B190" s="22"/>
      <c r="C190" s="23"/>
      <c r="D190" s="24"/>
      <c r="E190" s="23"/>
      <c r="F190" s="1082"/>
      <c r="H190" s="15"/>
      <c r="I190" s="15"/>
      <c r="J190" s="15"/>
      <c r="K190" s="15"/>
      <c r="L190" s="15"/>
      <c r="M190" s="15"/>
      <c r="N190" s="15"/>
      <c r="O190" s="15"/>
      <c r="P190" s="15"/>
      <c r="Q190" s="15"/>
      <c r="R190" s="15"/>
      <c r="S190" s="15"/>
      <c r="T190" s="15"/>
    </row>
    <row r="191" spans="1:20" s="14" customFormat="1" ht="15" customHeight="1">
      <c r="A191" s="21"/>
      <c r="B191" s="22"/>
      <c r="C191" s="23"/>
      <c r="D191" s="24"/>
      <c r="E191" s="23"/>
      <c r="F191" s="1082"/>
      <c r="H191" s="15"/>
      <c r="I191" s="15"/>
      <c r="J191" s="15"/>
      <c r="K191" s="15"/>
      <c r="L191" s="15"/>
      <c r="M191" s="15"/>
      <c r="N191" s="15"/>
      <c r="O191" s="15"/>
      <c r="P191" s="15"/>
      <c r="Q191" s="15"/>
      <c r="R191" s="15"/>
      <c r="S191" s="15"/>
      <c r="T191" s="15"/>
    </row>
    <row r="192" spans="1:20" s="14" customFormat="1" ht="15" customHeight="1">
      <c r="A192" s="21"/>
      <c r="B192" s="22"/>
      <c r="C192" s="23"/>
      <c r="D192" s="24"/>
      <c r="E192" s="23"/>
      <c r="F192" s="1082"/>
      <c r="H192" s="15"/>
      <c r="I192" s="15"/>
      <c r="J192" s="15"/>
      <c r="K192" s="15"/>
      <c r="L192" s="15"/>
      <c r="M192" s="15"/>
      <c r="N192" s="15"/>
      <c r="O192" s="15"/>
      <c r="P192" s="15"/>
      <c r="Q192" s="15"/>
      <c r="R192" s="15"/>
      <c r="S192" s="15"/>
      <c r="T192" s="15"/>
    </row>
    <row r="193" spans="1:20" s="14" customFormat="1" ht="15" customHeight="1">
      <c r="A193" s="21"/>
      <c r="B193" s="22"/>
      <c r="C193" s="23"/>
      <c r="D193" s="24"/>
      <c r="E193" s="23"/>
      <c r="F193" s="1082"/>
      <c r="H193" s="15"/>
      <c r="I193" s="15"/>
      <c r="J193" s="15"/>
      <c r="K193" s="15"/>
      <c r="L193" s="15"/>
      <c r="M193" s="15"/>
      <c r="N193" s="15"/>
      <c r="O193" s="15"/>
      <c r="P193" s="15"/>
      <c r="Q193" s="15"/>
      <c r="R193" s="15"/>
      <c r="S193" s="15"/>
      <c r="T193" s="15"/>
    </row>
    <row r="194" spans="1:20" s="14" customFormat="1" ht="15" customHeight="1">
      <c r="A194" s="21"/>
      <c r="B194" s="22"/>
      <c r="C194" s="23"/>
      <c r="D194" s="24"/>
      <c r="E194" s="23"/>
      <c r="F194" s="1082"/>
      <c r="H194" s="15"/>
      <c r="I194" s="15"/>
      <c r="J194" s="15"/>
      <c r="K194" s="15"/>
      <c r="L194" s="15"/>
      <c r="M194" s="15"/>
      <c r="N194" s="15"/>
      <c r="O194" s="15"/>
      <c r="P194" s="15"/>
      <c r="Q194" s="15"/>
      <c r="R194" s="15"/>
      <c r="S194" s="15"/>
      <c r="T194" s="15"/>
    </row>
    <row r="195" spans="1:20" s="14" customFormat="1" ht="15" customHeight="1">
      <c r="A195" s="21"/>
      <c r="B195" s="22"/>
      <c r="C195" s="23"/>
      <c r="D195" s="24"/>
      <c r="E195" s="23"/>
      <c r="F195" s="1082"/>
      <c r="H195" s="15"/>
      <c r="I195" s="15"/>
      <c r="J195" s="15"/>
      <c r="K195" s="15"/>
      <c r="L195" s="15"/>
      <c r="M195" s="15"/>
      <c r="N195" s="15"/>
      <c r="O195" s="15"/>
      <c r="P195" s="15"/>
      <c r="Q195" s="15"/>
      <c r="R195" s="15"/>
      <c r="S195" s="15"/>
      <c r="T195" s="15"/>
    </row>
    <row r="196" spans="1:20" s="14" customFormat="1" ht="15" customHeight="1">
      <c r="A196" s="21"/>
      <c r="B196" s="22"/>
      <c r="C196" s="23"/>
      <c r="D196" s="24"/>
      <c r="E196" s="23"/>
      <c r="F196" s="1082"/>
      <c r="H196" s="15"/>
      <c r="I196" s="15"/>
      <c r="J196" s="15"/>
      <c r="K196" s="15"/>
      <c r="L196" s="15"/>
      <c r="M196" s="15"/>
      <c r="N196" s="15"/>
      <c r="O196" s="15"/>
      <c r="P196" s="15"/>
      <c r="Q196" s="15"/>
      <c r="R196" s="15"/>
      <c r="S196" s="15"/>
      <c r="T196" s="15"/>
    </row>
    <row r="197" spans="1:20" s="14" customFormat="1" ht="15" customHeight="1">
      <c r="A197" s="21"/>
      <c r="B197" s="22"/>
      <c r="C197" s="23"/>
      <c r="D197" s="24"/>
      <c r="E197" s="23"/>
      <c r="F197" s="1082"/>
      <c r="H197" s="15"/>
      <c r="I197" s="15"/>
      <c r="J197" s="15"/>
      <c r="K197" s="15"/>
      <c r="L197" s="15"/>
      <c r="M197" s="15"/>
      <c r="N197" s="15"/>
      <c r="O197" s="15"/>
      <c r="P197" s="15"/>
      <c r="Q197" s="15"/>
      <c r="R197" s="15"/>
      <c r="S197" s="15"/>
      <c r="T197" s="15"/>
    </row>
    <row r="198" spans="1:20" s="14" customFormat="1" ht="15" customHeight="1">
      <c r="A198" s="21"/>
      <c r="B198" s="22"/>
      <c r="C198" s="23"/>
      <c r="D198" s="24"/>
      <c r="E198" s="23"/>
      <c r="F198" s="1082"/>
      <c r="H198" s="15"/>
      <c r="I198" s="15"/>
      <c r="J198" s="15"/>
      <c r="K198" s="15"/>
      <c r="L198" s="15"/>
      <c r="M198" s="15"/>
      <c r="N198" s="15"/>
      <c r="O198" s="15"/>
      <c r="P198" s="15"/>
      <c r="Q198" s="15"/>
      <c r="R198" s="15"/>
      <c r="S198" s="15"/>
      <c r="T198" s="15"/>
    </row>
    <row r="199" spans="1:20" s="14" customFormat="1" ht="15" customHeight="1">
      <c r="A199" s="21"/>
      <c r="B199" s="22"/>
      <c r="C199" s="23"/>
      <c r="D199" s="24"/>
      <c r="E199" s="23"/>
      <c r="F199" s="1082"/>
      <c r="H199" s="15"/>
      <c r="I199" s="15"/>
      <c r="J199" s="15"/>
      <c r="K199" s="15"/>
      <c r="L199" s="15"/>
      <c r="M199" s="15"/>
      <c r="N199" s="15"/>
      <c r="O199" s="15"/>
      <c r="P199" s="15"/>
      <c r="Q199" s="15"/>
      <c r="R199" s="15"/>
      <c r="S199" s="15"/>
      <c r="T199" s="15"/>
    </row>
    <row r="200" spans="1:20" s="14" customFormat="1" ht="15" customHeight="1">
      <c r="A200" s="21"/>
      <c r="B200" s="22"/>
      <c r="C200" s="23"/>
      <c r="D200" s="24"/>
      <c r="E200" s="23"/>
      <c r="F200" s="1082"/>
      <c r="H200" s="15"/>
      <c r="I200" s="15"/>
      <c r="J200" s="15"/>
      <c r="K200" s="15"/>
      <c r="L200" s="15"/>
      <c r="M200" s="15"/>
      <c r="N200" s="15"/>
      <c r="O200" s="15"/>
      <c r="P200" s="15"/>
      <c r="Q200" s="15"/>
      <c r="R200" s="15"/>
      <c r="S200" s="15"/>
      <c r="T200" s="15"/>
    </row>
    <row r="201" spans="1:20" s="14" customFormat="1" ht="15" customHeight="1">
      <c r="A201" s="21"/>
      <c r="B201" s="22"/>
      <c r="C201" s="23"/>
      <c r="D201" s="24"/>
      <c r="E201" s="23"/>
      <c r="F201" s="1082"/>
      <c r="H201" s="15"/>
      <c r="I201" s="15"/>
      <c r="J201" s="15"/>
      <c r="K201" s="15"/>
      <c r="L201" s="15"/>
      <c r="M201" s="15"/>
      <c r="N201" s="15"/>
      <c r="O201" s="15"/>
      <c r="P201" s="15"/>
      <c r="Q201" s="15"/>
      <c r="R201" s="15"/>
      <c r="S201" s="15"/>
      <c r="T201" s="15"/>
    </row>
    <row r="202" spans="1:20" s="14" customFormat="1" ht="15" customHeight="1">
      <c r="A202" s="21"/>
      <c r="B202" s="22"/>
      <c r="C202" s="23"/>
      <c r="D202" s="24"/>
      <c r="E202" s="23"/>
      <c r="F202" s="1082"/>
      <c r="H202" s="15"/>
      <c r="I202" s="15"/>
      <c r="J202" s="15"/>
      <c r="K202" s="15"/>
      <c r="L202" s="15"/>
      <c r="M202" s="15"/>
      <c r="N202" s="15"/>
      <c r="O202" s="15"/>
      <c r="P202" s="15"/>
      <c r="Q202" s="15"/>
      <c r="R202" s="15"/>
      <c r="S202" s="15"/>
      <c r="T202" s="15"/>
    </row>
    <row r="203" spans="1:20" s="14" customFormat="1" ht="15" customHeight="1">
      <c r="A203" s="21"/>
      <c r="B203" s="22"/>
      <c r="C203" s="23"/>
      <c r="D203" s="24"/>
      <c r="E203" s="23"/>
      <c r="F203" s="1082"/>
      <c r="H203" s="15"/>
      <c r="I203" s="15"/>
      <c r="J203" s="15"/>
      <c r="K203" s="15"/>
      <c r="L203" s="15"/>
      <c r="M203" s="15"/>
      <c r="N203" s="15"/>
      <c r="O203" s="15"/>
      <c r="P203" s="15"/>
      <c r="Q203" s="15"/>
      <c r="R203" s="15"/>
      <c r="S203" s="15"/>
      <c r="T203" s="15"/>
    </row>
    <row r="204" spans="1:20" s="14" customFormat="1" ht="15" customHeight="1">
      <c r="A204" s="21"/>
      <c r="B204" s="22"/>
      <c r="C204" s="23"/>
      <c r="D204" s="24"/>
      <c r="E204" s="23"/>
      <c r="F204" s="1082"/>
      <c r="H204" s="15"/>
      <c r="I204" s="15"/>
      <c r="J204" s="15"/>
      <c r="K204" s="15"/>
      <c r="L204" s="15"/>
      <c r="M204" s="15"/>
      <c r="N204" s="15"/>
      <c r="O204" s="15"/>
      <c r="P204" s="15"/>
      <c r="Q204" s="15"/>
      <c r="R204" s="15"/>
      <c r="S204" s="15"/>
      <c r="T204" s="15"/>
    </row>
    <row r="205" spans="1:20" s="14" customFormat="1" ht="15" customHeight="1">
      <c r="A205" s="21"/>
      <c r="B205" s="22"/>
      <c r="C205" s="23"/>
      <c r="D205" s="24"/>
      <c r="E205" s="23"/>
      <c r="F205" s="1082"/>
      <c r="H205" s="15"/>
      <c r="I205" s="15"/>
      <c r="J205" s="15"/>
      <c r="K205" s="15"/>
      <c r="L205" s="15"/>
      <c r="M205" s="15"/>
      <c r="N205" s="15"/>
      <c r="O205" s="15"/>
      <c r="P205" s="15"/>
      <c r="Q205" s="15"/>
      <c r="R205" s="15"/>
      <c r="S205" s="15"/>
      <c r="T205" s="15"/>
    </row>
    <row r="206" spans="1:20" s="14" customFormat="1" ht="15" customHeight="1">
      <c r="A206" s="21"/>
      <c r="B206" s="22"/>
      <c r="C206" s="23"/>
      <c r="D206" s="24"/>
      <c r="E206" s="23"/>
      <c r="F206" s="1082"/>
      <c r="H206" s="15"/>
      <c r="I206" s="15"/>
      <c r="J206" s="15"/>
      <c r="K206" s="15"/>
      <c r="L206" s="15"/>
      <c r="M206" s="15"/>
      <c r="N206" s="15"/>
      <c r="O206" s="15"/>
      <c r="P206" s="15"/>
      <c r="Q206" s="15"/>
      <c r="R206" s="15"/>
      <c r="S206" s="15"/>
      <c r="T206" s="15"/>
    </row>
    <row r="207" spans="1:20" s="14" customFormat="1" ht="15" customHeight="1">
      <c r="A207" s="21"/>
      <c r="B207" s="22"/>
      <c r="C207" s="23"/>
      <c r="D207" s="24"/>
      <c r="E207" s="23"/>
      <c r="F207" s="1082"/>
      <c r="H207" s="15"/>
      <c r="I207" s="15"/>
      <c r="J207" s="15"/>
      <c r="K207" s="15"/>
      <c r="L207" s="15"/>
      <c r="M207" s="15"/>
      <c r="N207" s="15"/>
      <c r="O207" s="15"/>
      <c r="P207" s="15"/>
      <c r="Q207" s="15"/>
      <c r="R207" s="15"/>
      <c r="S207" s="15"/>
      <c r="T207" s="15"/>
    </row>
    <row r="208" spans="1:20" s="14" customFormat="1" ht="15" customHeight="1">
      <c r="A208" s="21"/>
      <c r="B208" s="22"/>
      <c r="C208" s="23"/>
      <c r="D208" s="24"/>
      <c r="E208" s="23"/>
      <c r="F208" s="1082"/>
      <c r="H208" s="15"/>
      <c r="I208" s="15"/>
      <c r="J208" s="15"/>
      <c r="K208" s="15"/>
      <c r="L208" s="15"/>
      <c r="M208" s="15"/>
      <c r="N208" s="15"/>
      <c r="O208" s="15"/>
      <c r="P208" s="15"/>
      <c r="Q208" s="15"/>
      <c r="R208" s="15"/>
      <c r="S208" s="15"/>
      <c r="T208" s="15"/>
    </row>
    <row r="209" spans="1:20" s="14" customFormat="1" ht="15" customHeight="1">
      <c r="A209" s="21"/>
      <c r="B209" s="22"/>
      <c r="C209" s="23"/>
      <c r="D209" s="24"/>
      <c r="E209" s="23"/>
      <c r="F209" s="1082"/>
      <c r="H209" s="15"/>
      <c r="I209" s="15"/>
      <c r="J209" s="15"/>
      <c r="K209" s="15"/>
      <c r="L209" s="15"/>
      <c r="M209" s="15"/>
      <c r="N209" s="15"/>
      <c r="O209" s="15"/>
      <c r="P209" s="15"/>
      <c r="Q209" s="15"/>
      <c r="R209" s="15"/>
      <c r="S209" s="15"/>
      <c r="T209" s="15"/>
    </row>
    <row r="210" spans="1:20" s="14" customFormat="1" ht="15" customHeight="1">
      <c r="A210" s="21"/>
      <c r="B210" s="22"/>
      <c r="C210" s="23"/>
      <c r="D210" s="24"/>
      <c r="E210" s="23"/>
      <c r="F210" s="1082"/>
      <c r="H210" s="15"/>
      <c r="I210" s="15"/>
      <c r="J210" s="15"/>
      <c r="K210" s="15"/>
      <c r="L210" s="15"/>
      <c r="M210" s="15"/>
      <c r="N210" s="15"/>
      <c r="O210" s="15"/>
      <c r="P210" s="15"/>
      <c r="Q210" s="15"/>
      <c r="R210" s="15"/>
      <c r="S210" s="15"/>
      <c r="T210" s="15"/>
    </row>
    <row r="211" spans="1:20" s="14" customFormat="1" ht="15" customHeight="1">
      <c r="A211" s="21"/>
      <c r="B211" s="22"/>
      <c r="C211" s="23"/>
      <c r="D211" s="24"/>
      <c r="E211" s="23"/>
      <c r="F211" s="1082"/>
      <c r="H211" s="15"/>
      <c r="I211" s="15"/>
      <c r="J211" s="15"/>
      <c r="K211" s="15"/>
      <c r="L211" s="15"/>
      <c r="M211" s="15"/>
      <c r="N211" s="15"/>
      <c r="O211" s="15"/>
      <c r="P211" s="15"/>
      <c r="Q211" s="15"/>
      <c r="R211" s="15"/>
      <c r="S211" s="15"/>
      <c r="T211" s="15"/>
    </row>
    <row r="212" spans="1:20" s="14" customFormat="1" ht="15" customHeight="1">
      <c r="A212" s="21"/>
      <c r="B212" s="22"/>
      <c r="C212" s="23"/>
      <c r="D212" s="24"/>
      <c r="E212" s="23"/>
      <c r="F212" s="1082"/>
      <c r="H212" s="15"/>
      <c r="I212" s="15"/>
      <c r="J212" s="15"/>
      <c r="K212" s="15"/>
      <c r="L212" s="15"/>
      <c r="M212" s="15"/>
      <c r="N212" s="15"/>
      <c r="O212" s="15"/>
      <c r="P212" s="15"/>
      <c r="Q212" s="15"/>
      <c r="R212" s="15"/>
      <c r="S212" s="15"/>
      <c r="T212" s="15"/>
    </row>
    <row r="213" spans="1:20" s="14" customFormat="1" ht="15" customHeight="1">
      <c r="A213" s="21"/>
      <c r="B213" s="22"/>
      <c r="C213" s="23"/>
      <c r="D213" s="24"/>
      <c r="E213" s="23"/>
      <c r="F213" s="1082"/>
      <c r="H213" s="15"/>
      <c r="I213" s="15"/>
      <c r="J213" s="15"/>
      <c r="K213" s="15"/>
      <c r="L213" s="15"/>
      <c r="M213" s="15"/>
      <c r="N213" s="15"/>
      <c r="O213" s="15"/>
      <c r="P213" s="15"/>
      <c r="Q213" s="15"/>
      <c r="R213" s="15"/>
      <c r="S213" s="15"/>
      <c r="T213" s="15"/>
    </row>
    <row r="214" spans="1:20" s="14" customFormat="1" ht="15" customHeight="1">
      <c r="A214" s="21"/>
      <c r="B214" s="22"/>
      <c r="C214" s="23"/>
      <c r="D214" s="24"/>
      <c r="E214" s="23"/>
      <c r="F214" s="1082"/>
      <c r="H214" s="15"/>
      <c r="I214" s="15"/>
      <c r="J214" s="15"/>
      <c r="K214" s="15"/>
      <c r="L214" s="15"/>
      <c r="M214" s="15"/>
      <c r="N214" s="15"/>
      <c r="O214" s="15"/>
      <c r="P214" s="15"/>
      <c r="Q214" s="15"/>
      <c r="R214" s="15"/>
      <c r="S214" s="15"/>
      <c r="T214" s="15"/>
    </row>
    <row r="215" spans="1:20" s="14" customFormat="1" ht="15" customHeight="1">
      <c r="A215" s="21"/>
      <c r="B215" s="22"/>
      <c r="C215" s="23"/>
      <c r="D215" s="24"/>
      <c r="E215" s="23"/>
      <c r="F215" s="1082"/>
      <c r="H215" s="15"/>
      <c r="I215" s="15"/>
      <c r="J215" s="15"/>
      <c r="K215" s="15"/>
      <c r="L215" s="15"/>
      <c r="M215" s="15"/>
      <c r="N215" s="15"/>
      <c r="O215" s="15"/>
      <c r="P215" s="15"/>
      <c r="Q215" s="15"/>
      <c r="R215" s="15"/>
      <c r="S215" s="15"/>
      <c r="T215" s="15"/>
    </row>
    <row r="216" spans="1:20" s="14" customFormat="1" ht="15" customHeight="1">
      <c r="A216" s="21"/>
      <c r="B216" s="22"/>
      <c r="C216" s="23"/>
      <c r="D216" s="24"/>
      <c r="E216" s="23"/>
      <c r="F216" s="1082"/>
      <c r="H216" s="15"/>
      <c r="I216" s="15"/>
      <c r="J216" s="15"/>
      <c r="K216" s="15"/>
      <c r="L216" s="15"/>
      <c r="M216" s="15"/>
      <c r="N216" s="15"/>
      <c r="O216" s="15"/>
      <c r="P216" s="15"/>
      <c r="Q216" s="15"/>
      <c r="R216" s="15"/>
      <c r="S216" s="15"/>
      <c r="T216" s="15"/>
    </row>
    <row r="217" spans="1:20" s="14" customFormat="1" ht="15" customHeight="1">
      <c r="A217" s="21"/>
      <c r="B217" s="22"/>
      <c r="C217" s="23"/>
      <c r="D217" s="24"/>
      <c r="E217" s="23"/>
      <c r="F217" s="1082"/>
      <c r="H217" s="15"/>
      <c r="I217" s="15"/>
      <c r="J217" s="15"/>
      <c r="K217" s="15"/>
      <c r="L217" s="15"/>
      <c r="M217" s="15"/>
      <c r="N217" s="15"/>
      <c r="O217" s="15"/>
      <c r="P217" s="15"/>
      <c r="Q217" s="15"/>
      <c r="R217" s="15"/>
      <c r="S217" s="15"/>
      <c r="T217" s="15"/>
    </row>
    <row r="218" spans="1:20" s="14" customFormat="1" ht="15" customHeight="1">
      <c r="A218" s="21"/>
      <c r="B218" s="22"/>
      <c r="C218" s="23"/>
      <c r="D218" s="24"/>
      <c r="E218" s="23"/>
      <c r="F218" s="1082"/>
      <c r="H218" s="15"/>
      <c r="I218" s="15"/>
      <c r="J218" s="15"/>
      <c r="K218" s="15"/>
      <c r="L218" s="15"/>
      <c r="M218" s="15"/>
      <c r="N218" s="15"/>
      <c r="O218" s="15"/>
      <c r="P218" s="15"/>
      <c r="Q218" s="15"/>
      <c r="R218" s="15"/>
      <c r="S218" s="15"/>
      <c r="T218" s="15"/>
    </row>
    <row r="219" spans="1:20" s="14" customFormat="1" ht="15" customHeight="1">
      <c r="A219" s="21"/>
      <c r="B219" s="22"/>
      <c r="C219" s="23"/>
      <c r="D219" s="24"/>
      <c r="E219" s="23"/>
      <c r="F219" s="1082"/>
      <c r="H219" s="15"/>
      <c r="I219" s="15"/>
      <c r="J219" s="15"/>
      <c r="K219" s="15"/>
      <c r="L219" s="15"/>
      <c r="M219" s="15"/>
      <c r="N219" s="15"/>
      <c r="O219" s="15"/>
      <c r="P219" s="15"/>
      <c r="Q219" s="15"/>
      <c r="R219" s="15"/>
      <c r="S219" s="15"/>
      <c r="T219" s="15"/>
    </row>
    <row r="220" spans="1:20" s="14" customFormat="1" ht="15" customHeight="1">
      <c r="A220" s="21"/>
      <c r="B220" s="22"/>
      <c r="C220" s="23"/>
      <c r="D220" s="24"/>
      <c r="E220" s="23"/>
      <c r="F220" s="1082"/>
      <c r="H220" s="15"/>
      <c r="I220" s="15"/>
      <c r="J220" s="15"/>
      <c r="K220" s="15"/>
      <c r="L220" s="15"/>
      <c r="M220" s="15"/>
      <c r="N220" s="15"/>
      <c r="O220" s="15"/>
      <c r="P220" s="15"/>
      <c r="Q220" s="15"/>
      <c r="R220" s="15"/>
      <c r="S220" s="15"/>
      <c r="T220" s="15"/>
    </row>
    <row r="221" spans="1:20" s="14" customFormat="1" ht="15" customHeight="1">
      <c r="A221" s="21"/>
      <c r="B221" s="22"/>
      <c r="C221" s="23"/>
      <c r="D221" s="24"/>
      <c r="E221" s="23"/>
      <c r="F221" s="1082"/>
      <c r="H221" s="15"/>
      <c r="I221" s="15"/>
      <c r="J221" s="15"/>
      <c r="K221" s="15"/>
      <c r="L221" s="15"/>
      <c r="M221" s="15"/>
      <c r="N221" s="15"/>
      <c r="O221" s="15"/>
      <c r="P221" s="15"/>
      <c r="Q221" s="15"/>
      <c r="R221" s="15"/>
      <c r="S221" s="15"/>
      <c r="T221" s="15"/>
    </row>
    <row r="222" spans="1:20" s="14" customFormat="1" ht="15" customHeight="1">
      <c r="A222" s="21"/>
      <c r="B222" s="22"/>
      <c r="C222" s="23"/>
      <c r="D222" s="24"/>
      <c r="E222" s="23"/>
      <c r="F222" s="1082"/>
      <c r="H222" s="15"/>
      <c r="I222" s="15"/>
      <c r="J222" s="15"/>
      <c r="K222" s="15"/>
      <c r="L222" s="15"/>
      <c r="M222" s="15"/>
      <c r="N222" s="15"/>
      <c r="O222" s="15"/>
      <c r="P222" s="15"/>
      <c r="Q222" s="15"/>
      <c r="R222" s="15"/>
      <c r="S222" s="15"/>
      <c r="T222" s="15"/>
    </row>
    <row r="223" spans="1:20" s="14" customFormat="1" ht="15" customHeight="1">
      <c r="A223" s="21"/>
      <c r="B223" s="22"/>
      <c r="C223" s="23"/>
      <c r="D223" s="24"/>
      <c r="E223" s="23"/>
      <c r="F223" s="1082"/>
      <c r="H223" s="15"/>
      <c r="I223" s="15"/>
      <c r="J223" s="15"/>
      <c r="K223" s="15"/>
      <c r="L223" s="15"/>
      <c r="M223" s="15"/>
      <c r="N223" s="15"/>
      <c r="O223" s="15"/>
      <c r="P223" s="15"/>
      <c r="Q223" s="15"/>
      <c r="R223" s="15"/>
      <c r="S223" s="15"/>
      <c r="T223" s="15"/>
    </row>
    <row r="224" spans="1:20" s="14" customFormat="1" ht="15" customHeight="1">
      <c r="A224" s="21"/>
      <c r="B224" s="22"/>
      <c r="C224" s="23"/>
      <c r="D224" s="24"/>
      <c r="E224" s="23"/>
      <c r="F224" s="1082"/>
      <c r="H224" s="15"/>
      <c r="I224" s="15"/>
      <c r="J224" s="15"/>
      <c r="K224" s="15"/>
      <c r="L224" s="15"/>
      <c r="M224" s="15"/>
      <c r="N224" s="15"/>
      <c r="O224" s="15"/>
      <c r="P224" s="15"/>
      <c r="Q224" s="15"/>
      <c r="R224" s="15"/>
      <c r="S224" s="15"/>
      <c r="T224" s="15"/>
    </row>
    <row r="225" spans="1:20" s="14" customFormat="1" ht="15" customHeight="1">
      <c r="A225" s="21"/>
      <c r="B225" s="22"/>
      <c r="C225" s="23"/>
      <c r="D225" s="24"/>
      <c r="E225" s="23"/>
      <c r="F225" s="1082"/>
      <c r="H225" s="15"/>
      <c r="I225" s="15"/>
      <c r="J225" s="15"/>
      <c r="K225" s="15"/>
      <c r="L225" s="15"/>
      <c r="M225" s="15"/>
      <c r="N225" s="15"/>
      <c r="O225" s="15"/>
      <c r="P225" s="15"/>
      <c r="Q225" s="15"/>
      <c r="R225" s="15"/>
      <c r="S225" s="15"/>
      <c r="T225" s="15"/>
    </row>
    <row r="226" spans="1:20" s="14" customFormat="1" ht="15" customHeight="1">
      <c r="A226" s="21"/>
      <c r="B226" s="22"/>
      <c r="C226" s="23"/>
      <c r="D226" s="24"/>
      <c r="E226" s="23"/>
      <c r="F226" s="1082"/>
      <c r="H226" s="15"/>
      <c r="I226" s="15"/>
      <c r="J226" s="15"/>
      <c r="K226" s="15"/>
      <c r="L226" s="15"/>
      <c r="M226" s="15"/>
      <c r="N226" s="15"/>
      <c r="O226" s="15"/>
      <c r="P226" s="15"/>
      <c r="Q226" s="15"/>
      <c r="R226" s="15"/>
      <c r="S226" s="15"/>
      <c r="T226" s="15"/>
    </row>
    <row r="227" spans="1:20" s="14" customFormat="1" ht="15" customHeight="1">
      <c r="A227" s="21"/>
      <c r="B227" s="22"/>
      <c r="C227" s="23"/>
      <c r="D227" s="24"/>
      <c r="E227" s="23"/>
      <c r="F227" s="1082"/>
      <c r="H227" s="15"/>
      <c r="I227" s="15"/>
      <c r="J227" s="15"/>
      <c r="K227" s="15"/>
      <c r="L227" s="15"/>
      <c r="M227" s="15"/>
      <c r="N227" s="15"/>
      <c r="O227" s="15"/>
      <c r="P227" s="15"/>
      <c r="Q227" s="15"/>
      <c r="R227" s="15"/>
      <c r="S227" s="15"/>
      <c r="T227" s="15"/>
    </row>
    <row r="228" spans="1:20" s="14" customFormat="1" ht="15" customHeight="1">
      <c r="A228" s="21"/>
      <c r="B228" s="22"/>
      <c r="C228" s="23"/>
      <c r="D228" s="24"/>
      <c r="E228" s="23"/>
      <c r="F228" s="1082"/>
      <c r="H228" s="15"/>
      <c r="I228" s="15"/>
      <c r="J228" s="15"/>
      <c r="K228" s="15"/>
      <c r="L228" s="15"/>
      <c r="M228" s="15"/>
      <c r="N228" s="15"/>
      <c r="O228" s="15"/>
      <c r="P228" s="15"/>
      <c r="Q228" s="15"/>
      <c r="R228" s="15"/>
      <c r="S228" s="15"/>
      <c r="T228" s="15"/>
    </row>
    <row r="229" spans="1:20" s="14" customFormat="1" ht="15" customHeight="1">
      <c r="A229" s="21"/>
      <c r="B229" s="22"/>
      <c r="C229" s="23"/>
      <c r="D229" s="24"/>
      <c r="E229" s="23"/>
      <c r="F229" s="1082"/>
      <c r="H229" s="15"/>
      <c r="I229" s="15"/>
      <c r="J229" s="15"/>
      <c r="K229" s="15"/>
      <c r="L229" s="15"/>
      <c r="M229" s="15"/>
      <c r="N229" s="15"/>
      <c r="O229" s="15"/>
      <c r="P229" s="15"/>
      <c r="Q229" s="15"/>
      <c r="R229" s="15"/>
      <c r="S229" s="15"/>
      <c r="T229" s="15"/>
    </row>
    <row r="230" spans="1:20" s="14" customFormat="1" ht="15" customHeight="1">
      <c r="A230" s="21"/>
      <c r="B230" s="22"/>
      <c r="C230" s="23"/>
      <c r="D230" s="24"/>
      <c r="E230" s="23"/>
      <c r="F230" s="1082"/>
      <c r="H230" s="15"/>
      <c r="I230" s="15"/>
      <c r="J230" s="15"/>
      <c r="K230" s="15"/>
      <c r="L230" s="15"/>
      <c r="M230" s="15"/>
      <c r="N230" s="15"/>
      <c r="O230" s="15"/>
      <c r="P230" s="15"/>
      <c r="Q230" s="15"/>
      <c r="R230" s="15"/>
      <c r="S230" s="15"/>
      <c r="T230" s="15"/>
    </row>
    <row r="231" spans="1:20" s="14" customFormat="1" ht="15" customHeight="1">
      <c r="A231" s="21"/>
      <c r="B231" s="22"/>
      <c r="C231" s="23"/>
      <c r="D231" s="24"/>
      <c r="E231" s="23"/>
      <c r="F231" s="1082"/>
      <c r="H231" s="15"/>
      <c r="I231" s="15"/>
      <c r="J231" s="15"/>
      <c r="K231" s="15"/>
      <c r="L231" s="15"/>
      <c r="M231" s="15"/>
      <c r="N231" s="15"/>
      <c r="O231" s="15"/>
      <c r="P231" s="15"/>
      <c r="Q231" s="15"/>
      <c r="R231" s="15"/>
      <c r="S231" s="15"/>
      <c r="T231" s="15"/>
    </row>
    <row r="232" spans="1:20" s="14" customFormat="1" ht="15" customHeight="1">
      <c r="A232" s="21"/>
      <c r="B232" s="22"/>
      <c r="C232" s="23"/>
      <c r="D232" s="24"/>
      <c r="E232" s="23"/>
      <c r="F232" s="1082"/>
      <c r="H232" s="15"/>
      <c r="I232" s="15"/>
      <c r="J232" s="15"/>
      <c r="K232" s="15"/>
      <c r="L232" s="15"/>
      <c r="M232" s="15"/>
      <c r="N232" s="15"/>
      <c r="O232" s="15"/>
      <c r="P232" s="15"/>
      <c r="Q232" s="15"/>
      <c r="R232" s="15"/>
      <c r="S232" s="15"/>
      <c r="T232" s="15"/>
    </row>
    <row r="233" spans="1:20" s="14" customFormat="1" ht="15" customHeight="1">
      <c r="A233" s="21"/>
      <c r="B233" s="22"/>
      <c r="C233" s="23"/>
      <c r="D233" s="24"/>
      <c r="E233" s="23"/>
      <c r="F233" s="1082"/>
      <c r="H233" s="15"/>
      <c r="I233" s="15"/>
      <c r="J233" s="15"/>
      <c r="K233" s="15"/>
      <c r="L233" s="15"/>
      <c r="M233" s="15"/>
      <c r="N233" s="15"/>
      <c r="O233" s="15"/>
      <c r="P233" s="15"/>
      <c r="Q233" s="15"/>
      <c r="R233" s="15"/>
      <c r="S233" s="15"/>
      <c r="T233" s="15"/>
    </row>
    <row r="234" spans="1:20" s="14" customFormat="1" ht="15" customHeight="1">
      <c r="A234" s="21"/>
      <c r="B234" s="22"/>
      <c r="C234" s="23"/>
      <c r="D234" s="24"/>
      <c r="E234" s="23"/>
      <c r="F234" s="1082"/>
      <c r="H234" s="15"/>
      <c r="I234" s="15"/>
      <c r="J234" s="15"/>
      <c r="K234" s="15"/>
      <c r="L234" s="15"/>
      <c r="M234" s="15"/>
      <c r="N234" s="15"/>
      <c r="O234" s="15"/>
      <c r="P234" s="15"/>
      <c r="Q234" s="15"/>
      <c r="R234" s="15"/>
      <c r="S234" s="15"/>
      <c r="T234" s="15"/>
    </row>
    <row r="235" spans="1:20" s="14" customFormat="1" ht="15" customHeight="1">
      <c r="A235" s="21"/>
      <c r="B235" s="22"/>
      <c r="C235" s="23"/>
      <c r="D235" s="24"/>
      <c r="E235" s="23"/>
      <c r="F235" s="1082"/>
      <c r="H235" s="15"/>
      <c r="I235" s="15"/>
      <c r="J235" s="15"/>
      <c r="K235" s="15"/>
      <c r="L235" s="15"/>
      <c r="M235" s="15"/>
      <c r="N235" s="15"/>
      <c r="O235" s="15"/>
      <c r="P235" s="15"/>
      <c r="Q235" s="15"/>
      <c r="R235" s="15"/>
      <c r="S235" s="15"/>
      <c r="T235" s="15"/>
    </row>
    <row r="236" spans="1:20" s="14" customFormat="1" ht="15" customHeight="1">
      <c r="A236" s="21"/>
      <c r="B236" s="22"/>
      <c r="C236" s="23"/>
      <c r="D236" s="24"/>
      <c r="E236" s="23"/>
      <c r="F236" s="1082"/>
      <c r="H236" s="15"/>
      <c r="I236" s="15"/>
      <c r="J236" s="15"/>
      <c r="K236" s="15"/>
      <c r="L236" s="15"/>
      <c r="M236" s="15"/>
      <c r="N236" s="15"/>
      <c r="O236" s="15"/>
      <c r="P236" s="15"/>
      <c r="Q236" s="15"/>
      <c r="R236" s="15"/>
      <c r="S236" s="15"/>
      <c r="T236" s="15"/>
    </row>
    <row r="237" spans="1:20" s="14" customFormat="1" ht="15" customHeight="1">
      <c r="A237" s="21"/>
      <c r="B237" s="22"/>
      <c r="C237" s="23"/>
      <c r="D237" s="24"/>
      <c r="E237" s="23"/>
      <c r="F237" s="1082"/>
      <c r="H237" s="15"/>
      <c r="I237" s="15"/>
      <c r="J237" s="15"/>
      <c r="K237" s="15"/>
      <c r="L237" s="15"/>
      <c r="M237" s="15"/>
      <c r="N237" s="15"/>
      <c r="O237" s="15"/>
      <c r="P237" s="15"/>
      <c r="Q237" s="15"/>
      <c r="R237" s="15"/>
      <c r="S237" s="15"/>
      <c r="T237" s="15"/>
    </row>
    <row r="238" spans="1:20" s="14" customFormat="1" ht="15" customHeight="1">
      <c r="A238" s="21"/>
      <c r="B238" s="22"/>
      <c r="C238" s="23"/>
      <c r="D238" s="24"/>
      <c r="E238" s="23"/>
      <c r="F238" s="1082"/>
      <c r="H238" s="15"/>
      <c r="I238" s="15"/>
      <c r="J238" s="15"/>
      <c r="K238" s="15"/>
      <c r="L238" s="15"/>
      <c r="M238" s="15"/>
      <c r="N238" s="15"/>
      <c r="O238" s="15"/>
      <c r="P238" s="15"/>
      <c r="Q238" s="15"/>
      <c r="R238" s="15"/>
      <c r="S238" s="15"/>
      <c r="T238" s="15"/>
    </row>
    <row r="239" spans="1:20" s="14" customFormat="1" ht="15" customHeight="1">
      <c r="A239" s="21"/>
      <c r="B239" s="22"/>
      <c r="C239" s="23"/>
      <c r="D239" s="24"/>
      <c r="E239" s="23"/>
      <c r="F239" s="1082"/>
      <c r="H239" s="15"/>
      <c r="I239" s="15"/>
      <c r="J239" s="15"/>
      <c r="K239" s="15"/>
      <c r="L239" s="15"/>
      <c r="M239" s="15"/>
      <c r="N239" s="15"/>
      <c r="O239" s="15"/>
      <c r="P239" s="15"/>
      <c r="Q239" s="15"/>
      <c r="R239" s="15"/>
      <c r="S239" s="15"/>
      <c r="T239" s="15"/>
    </row>
    <row r="240" spans="1:20" s="14" customFormat="1" ht="15" customHeight="1">
      <c r="A240" s="21"/>
      <c r="B240" s="22"/>
      <c r="C240" s="23"/>
      <c r="D240" s="24"/>
      <c r="E240" s="23"/>
      <c r="F240" s="1082"/>
      <c r="H240" s="15"/>
      <c r="I240" s="15"/>
      <c r="J240" s="15"/>
      <c r="K240" s="15"/>
      <c r="L240" s="15"/>
      <c r="M240" s="15"/>
      <c r="N240" s="15"/>
      <c r="O240" s="15"/>
      <c r="P240" s="15"/>
      <c r="Q240" s="15"/>
      <c r="R240" s="15"/>
      <c r="S240" s="15"/>
      <c r="T240" s="15"/>
    </row>
    <row r="241" spans="1:20" s="14" customFormat="1" ht="15" customHeight="1">
      <c r="A241" s="21"/>
      <c r="B241" s="22"/>
      <c r="C241" s="23"/>
      <c r="D241" s="24"/>
      <c r="E241" s="23"/>
      <c r="F241" s="1082"/>
      <c r="H241" s="15"/>
      <c r="I241" s="15"/>
      <c r="J241" s="15"/>
      <c r="K241" s="15"/>
      <c r="L241" s="15"/>
      <c r="M241" s="15"/>
      <c r="N241" s="15"/>
      <c r="O241" s="15"/>
      <c r="P241" s="15"/>
      <c r="Q241" s="15"/>
      <c r="R241" s="15"/>
      <c r="S241" s="15"/>
      <c r="T241" s="15"/>
    </row>
    <row r="242" spans="1:20" s="14" customFormat="1" ht="15" customHeight="1">
      <c r="A242" s="21"/>
      <c r="B242" s="22"/>
      <c r="C242" s="23"/>
      <c r="D242" s="24"/>
      <c r="E242" s="23"/>
      <c r="F242" s="1082"/>
      <c r="H242" s="15"/>
      <c r="I242" s="15"/>
      <c r="J242" s="15"/>
      <c r="K242" s="15"/>
      <c r="L242" s="15"/>
      <c r="M242" s="15"/>
      <c r="N242" s="15"/>
      <c r="O242" s="15"/>
      <c r="P242" s="15"/>
      <c r="Q242" s="15"/>
      <c r="R242" s="15"/>
      <c r="S242" s="15"/>
      <c r="T242" s="15"/>
    </row>
    <row r="243" spans="1:20" s="14" customFormat="1" ht="15" customHeight="1">
      <c r="A243" s="21"/>
      <c r="B243" s="22"/>
      <c r="C243" s="23"/>
      <c r="D243" s="24"/>
      <c r="E243" s="23"/>
      <c r="F243" s="1082"/>
      <c r="H243" s="15"/>
      <c r="I243" s="15"/>
      <c r="J243" s="15"/>
      <c r="K243" s="15"/>
      <c r="L243" s="15"/>
      <c r="M243" s="15"/>
      <c r="N243" s="15"/>
      <c r="O243" s="15"/>
      <c r="P243" s="15"/>
      <c r="Q243" s="15"/>
      <c r="R243" s="15"/>
      <c r="S243" s="15"/>
      <c r="T243" s="15"/>
    </row>
    <row r="244" spans="1:20" s="14" customFormat="1" ht="15" customHeight="1">
      <c r="A244" s="21"/>
      <c r="B244" s="22"/>
      <c r="C244" s="23"/>
      <c r="D244" s="24"/>
      <c r="E244" s="23"/>
      <c r="F244" s="1082"/>
      <c r="H244" s="15"/>
      <c r="I244" s="15"/>
      <c r="J244" s="15"/>
      <c r="K244" s="15"/>
      <c r="L244" s="15"/>
      <c r="M244" s="15"/>
      <c r="N244" s="15"/>
      <c r="O244" s="15"/>
      <c r="P244" s="15"/>
      <c r="Q244" s="15"/>
      <c r="R244" s="15"/>
      <c r="S244" s="15"/>
      <c r="T244" s="15"/>
    </row>
    <row r="245" spans="1:20" s="14" customFormat="1" ht="15" customHeight="1">
      <c r="A245" s="21"/>
      <c r="B245" s="22"/>
      <c r="C245" s="23"/>
      <c r="D245" s="24"/>
      <c r="E245" s="23"/>
      <c r="F245" s="1082"/>
      <c r="H245" s="15"/>
      <c r="I245" s="15"/>
      <c r="J245" s="15"/>
      <c r="K245" s="15"/>
      <c r="L245" s="15"/>
      <c r="M245" s="15"/>
      <c r="N245" s="15"/>
      <c r="O245" s="15"/>
      <c r="P245" s="15"/>
      <c r="Q245" s="15"/>
      <c r="R245" s="15"/>
      <c r="S245" s="15"/>
      <c r="T245" s="15"/>
    </row>
    <row r="246" spans="1:20" s="14" customFormat="1" ht="15" customHeight="1">
      <c r="A246" s="21"/>
      <c r="B246" s="22"/>
      <c r="C246" s="23"/>
      <c r="D246" s="24"/>
      <c r="E246" s="23"/>
      <c r="F246" s="1082"/>
      <c r="H246" s="15"/>
      <c r="I246" s="15"/>
      <c r="J246" s="15"/>
      <c r="K246" s="15"/>
      <c r="L246" s="15"/>
      <c r="M246" s="15"/>
      <c r="N246" s="15"/>
      <c r="O246" s="15"/>
      <c r="P246" s="15"/>
      <c r="Q246" s="15"/>
      <c r="R246" s="15"/>
      <c r="S246" s="15"/>
      <c r="T246" s="15"/>
    </row>
    <row r="247" spans="1:20" s="14" customFormat="1" ht="15" customHeight="1">
      <c r="A247" s="21"/>
      <c r="B247" s="22"/>
      <c r="C247" s="23"/>
      <c r="D247" s="24"/>
      <c r="E247" s="23"/>
      <c r="F247" s="1082"/>
      <c r="H247" s="15"/>
      <c r="I247" s="15"/>
      <c r="J247" s="15"/>
      <c r="K247" s="15"/>
      <c r="L247" s="15"/>
      <c r="M247" s="15"/>
      <c r="N247" s="15"/>
      <c r="O247" s="15"/>
      <c r="P247" s="15"/>
      <c r="Q247" s="15"/>
      <c r="R247" s="15"/>
      <c r="S247" s="15"/>
      <c r="T247" s="15"/>
    </row>
    <row r="248" spans="1:20" s="14" customFormat="1" ht="15" customHeight="1">
      <c r="A248" s="21"/>
      <c r="B248" s="22"/>
      <c r="C248" s="23"/>
      <c r="D248" s="24"/>
      <c r="E248" s="23"/>
      <c r="F248" s="1082"/>
      <c r="H248" s="15"/>
      <c r="I248" s="15"/>
      <c r="J248" s="15"/>
      <c r="K248" s="15"/>
      <c r="L248" s="15"/>
      <c r="M248" s="15"/>
      <c r="N248" s="15"/>
      <c r="O248" s="15"/>
      <c r="P248" s="15"/>
      <c r="Q248" s="15"/>
      <c r="R248" s="15"/>
      <c r="S248" s="15"/>
      <c r="T248" s="15"/>
    </row>
    <row r="249" spans="1:20" s="14" customFormat="1" ht="15" customHeight="1">
      <c r="A249" s="21"/>
      <c r="B249" s="22"/>
      <c r="C249" s="23"/>
      <c r="D249" s="24"/>
      <c r="E249" s="23"/>
      <c r="F249" s="1082"/>
      <c r="H249" s="15"/>
      <c r="I249" s="15"/>
      <c r="J249" s="15"/>
      <c r="K249" s="15"/>
      <c r="L249" s="15"/>
      <c r="M249" s="15"/>
      <c r="N249" s="15"/>
      <c r="O249" s="15"/>
      <c r="P249" s="15"/>
      <c r="Q249" s="15"/>
      <c r="R249" s="15"/>
      <c r="S249" s="15"/>
      <c r="T249" s="15"/>
    </row>
    <row r="250" spans="1:20" s="14" customFormat="1" ht="15" customHeight="1">
      <c r="A250" s="21"/>
      <c r="B250" s="22"/>
      <c r="C250" s="23"/>
      <c r="D250" s="24"/>
      <c r="E250" s="23"/>
      <c r="F250" s="1082"/>
      <c r="H250" s="15"/>
      <c r="I250" s="15"/>
      <c r="J250" s="15"/>
      <c r="K250" s="15"/>
      <c r="L250" s="15"/>
      <c r="M250" s="15"/>
      <c r="N250" s="15"/>
      <c r="O250" s="15"/>
      <c r="P250" s="15"/>
      <c r="Q250" s="15"/>
      <c r="R250" s="15"/>
      <c r="S250" s="15"/>
      <c r="T250" s="15"/>
    </row>
    <row r="251" spans="1:20" s="14" customFormat="1" ht="15" customHeight="1">
      <c r="A251" s="21"/>
      <c r="B251" s="22"/>
      <c r="C251" s="23"/>
      <c r="D251" s="24"/>
      <c r="E251" s="23"/>
      <c r="F251" s="1082"/>
      <c r="H251" s="15"/>
      <c r="I251" s="15"/>
      <c r="J251" s="15"/>
      <c r="K251" s="15"/>
      <c r="L251" s="15"/>
      <c r="M251" s="15"/>
      <c r="N251" s="15"/>
      <c r="O251" s="15"/>
      <c r="P251" s="15"/>
      <c r="Q251" s="15"/>
      <c r="R251" s="15"/>
      <c r="S251" s="15"/>
      <c r="T251" s="15"/>
    </row>
    <row r="252" spans="1:20" s="14" customFormat="1" ht="15" customHeight="1">
      <c r="A252" s="21"/>
      <c r="B252" s="22"/>
      <c r="C252" s="23"/>
      <c r="D252" s="24"/>
      <c r="E252" s="23"/>
      <c r="F252" s="1082"/>
      <c r="H252" s="15"/>
      <c r="I252" s="15"/>
      <c r="J252" s="15"/>
      <c r="K252" s="15"/>
      <c r="L252" s="15"/>
      <c r="M252" s="15"/>
      <c r="N252" s="15"/>
      <c r="O252" s="15"/>
      <c r="P252" s="15"/>
      <c r="Q252" s="15"/>
      <c r="R252" s="15"/>
      <c r="S252" s="15"/>
      <c r="T252" s="15"/>
    </row>
    <row r="253" spans="1:20" s="14" customFormat="1" ht="15" customHeight="1">
      <c r="A253" s="21"/>
      <c r="B253" s="22"/>
      <c r="C253" s="23"/>
      <c r="D253" s="24"/>
      <c r="E253" s="23"/>
      <c r="F253" s="1082"/>
      <c r="H253" s="15"/>
      <c r="I253" s="15"/>
      <c r="J253" s="15"/>
      <c r="K253" s="15"/>
      <c r="L253" s="15"/>
      <c r="M253" s="15"/>
      <c r="N253" s="15"/>
      <c r="O253" s="15"/>
      <c r="P253" s="15"/>
      <c r="Q253" s="15"/>
      <c r="R253" s="15"/>
      <c r="S253" s="15"/>
      <c r="T253" s="15"/>
    </row>
    <row r="254" spans="1:20" s="14" customFormat="1" ht="15" customHeight="1">
      <c r="A254" s="21"/>
      <c r="B254" s="22"/>
      <c r="C254" s="23"/>
      <c r="D254" s="24"/>
      <c r="E254" s="23"/>
      <c r="F254" s="1082"/>
      <c r="H254" s="15"/>
      <c r="I254" s="15"/>
      <c r="J254" s="15"/>
      <c r="K254" s="15"/>
      <c r="L254" s="15"/>
      <c r="M254" s="15"/>
      <c r="N254" s="15"/>
      <c r="O254" s="15"/>
      <c r="P254" s="15"/>
      <c r="Q254" s="15"/>
      <c r="R254" s="15"/>
      <c r="S254" s="15"/>
      <c r="T254" s="15"/>
    </row>
    <row r="255" spans="1:20" s="14" customFormat="1" ht="15" customHeight="1">
      <c r="A255" s="21"/>
      <c r="B255" s="22"/>
      <c r="C255" s="23"/>
      <c r="D255" s="24"/>
      <c r="E255" s="23"/>
      <c r="F255" s="1082"/>
      <c r="H255" s="15"/>
      <c r="I255" s="15"/>
      <c r="J255" s="15"/>
      <c r="K255" s="15"/>
      <c r="L255" s="15"/>
      <c r="M255" s="15"/>
      <c r="N255" s="15"/>
      <c r="O255" s="15"/>
      <c r="P255" s="15"/>
      <c r="Q255" s="15"/>
      <c r="R255" s="15"/>
      <c r="S255" s="15"/>
      <c r="T255" s="15"/>
    </row>
    <row r="256" spans="1:20" s="14" customFormat="1" ht="15" customHeight="1">
      <c r="A256" s="21"/>
      <c r="B256" s="22"/>
      <c r="C256" s="23"/>
      <c r="D256" s="24"/>
      <c r="E256" s="23"/>
      <c r="F256" s="1082"/>
      <c r="H256" s="15"/>
      <c r="I256" s="15"/>
      <c r="J256" s="15"/>
      <c r="K256" s="15"/>
      <c r="L256" s="15"/>
      <c r="M256" s="15"/>
      <c r="N256" s="15"/>
      <c r="O256" s="15"/>
      <c r="P256" s="15"/>
      <c r="Q256" s="15"/>
      <c r="R256" s="15"/>
      <c r="S256" s="15"/>
      <c r="T256" s="15"/>
    </row>
    <row r="257" spans="1:20" s="14" customFormat="1" ht="15" customHeight="1">
      <c r="A257" s="21"/>
      <c r="B257" s="22"/>
      <c r="C257" s="23"/>
      <c r="D257" s="24"/>
      <c r="E257" s="23"/>
      <c r="F257" s="1082"/>
      <c r="H257" s="15"/>
      <c r="I257" s="15"/>
      <c r="J257" s="15"/>
      <c r="K257" s="15"/>
      <c r="L257" s="15"/>
      <c r="M257" s="15"/>
      <c r="N257" s="15"/>
      <c r="O257" s="15"/>
      <c r="P257" s="15"/>
      <c r="Q257" s="15"/>
      <c r="R257" s="15"/>
      <c r="S257" s="15"/>
      <c r="T257" s="15"/>
    </row>
    <row r="258" spans="1:20" s="14" customFormat="1" ht="15" customHeight="1">
      <c r="A258" s="21"/>
      <c r="B258" s="22"/>
      <c r="C258" s="23"/>
      <c r="D258" s="24"/>
      <c r="E258" s="23"/>
      <c r="F258" s="1082"/>
      <c r="H258" s="15"/>
      <c r="I258" s="15"/>
      <c r="J258" s="15"/>
      <c r="K258" s="15"/>
      <c r="L258" s="15"/>
      <c r="M258" s="15"/>
      <c r="N258" s="15"/>
      <c r="O258" s="15"/>
      <c r="P258" s="15"/>
      <c r="Q258" s="15"/>
      <c r="R258" s="15"/>
      <c r="S258" s="15"/>
      <c r="T258" s="15"/>
    </row>
    <row r="259" spans="1:20" s="14" customFormat="1" ht="15" customHeight="1">
      <c r="A259" s="21"/>
      <c r="B259" s="22"/>
      <c r="C259" s="23"/>
      <c r="D259" s="24"/>
      <c r="E259" s="23"/>
      <c r="F259" s="1082"/>
      <c r="H259" s="15"/>
      <c r="I259" s="15"/>
      <c r="J259" s="15"/>
      <c r="K259" s="15"/>
      <c r="L259" s="15"/>
      <c r="M259" s="15"/>
      <c r="N259" s="15"/>
      <c r="O259" s="15"/>
      <c r="P259" s="15"/>
      <c r="Q259" s="15"/>
      <c r="R259" s="15"/>
      <c r="S259" s="15"/>
      <c r="T259" s="15"/>
    </row>
    <row r="260" spans="1:20" s="14" customFormat="1" ht="15" customHeight="1">
      <c r="A260" s="21"/>
      <c r="B260" s="22"/>
      <c r="C260" s="23"/>
      <c r="D260" s="24"/>
      <c r="E260" s="23"/>
      <c r="F260" s="1082"/>
      <c r="H260" s="15"/>
      <c r="I260" s="15"/>
      <c r="J260" s="15"/>
      <c r="K260" s="15"/>
      <c r="L260" s="15"/>
      <c r="M260" s="15"/>
      <c r="N260" s="15"/>
      <c r="O260" s="15"/>
      <c r="P260" s="15"/>
      <c r="Q260" s="15"/>
      <c r="R260" s="15"/>
      <c r="S260" s="15"/>
      <c r="T260" s="15"/>
    </row>
    <row r="261" spans="1:20" s="14" customFormat="1" ht="15" customHeight="1">
      <c r="A261" s="21"/>
      <c r="B261" s="22"/>
      <c r="C261" s="23"/>
      <c r="D261" s="24"/>
      <c r="E261" s="23"/>
      <c r="F261" s="1082"/>
      <c r="H261" s="15"/>
      <c r="I261" s="15"/>
      <c r="J261" s="15"/>
      <c r="K261" s="15"/>
      <c r="L261" s="15"/>
      <c r="M261" s="15"/>
      <c r="N261" s="15"/>
      <c r="O261" s="15"/>
      <c r="P261" s="15"/>
      <c r="Q261" s="15"/>
      <c r="R261" s="15"/>
      <c r="S261" s="15"/>
      <c r="T261" s="15"/>
    </row>
    <row r="262" spans="1:20" s="14" customFormat="1" ht="15" customHeight="1">
      <c r="A262" s="21"/>
      <c r="B262" s="22"/>
      <c r="C262" s="23"/>
      <c r="D262" s="24"/>
      <c r="E262" s="23"/>
      <c r="F262" s="1082"/>
      <c r="H262" s="15"/>
      <c r="I262" s="15"/>
      <c r="J262" s="15"/>
      <c r="K262" s="15"/>
      <c r="L262" s="15"/>
      <c r="M262" s="15"/>
      <c r="N262" s="15"/>
      <c r="O262" s="15"/>
      <c r="P262" s="15"/>
      <c r="Q262" s="15"/>
      <c r="R262" s="15"/>
      <c r="S262" s="15"/>
      <c r="T262" s="15"/>
    </row>
    <row r="263" spans="1:20" s="14" customFormat="1" ht="15" customHeight="1">
      <c r="A263" s="21"/>
      <c r="B263" s="22"/>
      <c r="C263" s="23"/>
      <c r="D263" s="24"/>
      <c r="E263" s="23"/>
      <c r="F263" s="1082"/>
      <c r="H263" s="15"/>
      <c r="I263" s="15"/>
      <c r="J263" s="15"/>
      <c r="K263" s="15"/>
      <c r="L263" s="15"/>
      <c r="M263" s="15"/>
      <c r="N263" s="15"/>
      <c r="O263" s="15"/>
      <c r="P263" s="15"/>
      <c r="Q263" s="15"/>
      <c r="R263" s="15"/>
      <c r="S263" s="15"/>
      <c r="T263" s="15"/>
    </row>
    <row r="264" spans="1:20" s="14" customFormat="1" ht="15" customHeight="1">
      <c r="A264" s="21"/>
      <c r="B264" s="22"/>
      <c r="C264" s="23"/>
      <c r="D264" s="24"/>
      <c r="E264" s="23"/>
      <c r="F264" s="1082"/>
      <c r="H264" s="15"/>
      <c r="I264" s="15"/>
      <c r="J264" s="15"/>
      <c r="K264" s="15"/>
      <c r="L264" s="15"/>
      <c r="M264" s="15"/>
      <c r="N264" s="15"/>
      <c r="O264" s="15"/>
      <c r="P264" s="15"/>
      <c r="Q264" s="15"/>
      <c r="R264" s="15"/>
      <c r="S264" s="15"/>
      <c r="T264" s="15"/>
    </row>
    <row r="265" spans="1:20" s="14" customFormat="1" ht="15" customHeight="1">
      <c r="A265" s="21"/>
      <c r="B265" s="22"/>
      <c r="C265" s="23"/>
      <c r="D265" s="24"/>
      <c r="E265" s="23"/>
      <c r="F265" s="1082"/>
      <c r="H265" s="15"/>
      <c r="I265" s="15"/>
      <c r="J265" s="15"/>
      <c r="K265" s="15"/>
      <c r="L265" s="15"/>
      <c r="M265" s="15"/>
      <c r="N265" s="15"/>
      <c r="O265" s="15"/>
      <c r="P265" s="15"/>
      <c r="Q265" s="15"/>
      <c r="R265" s="15"/>
      <c r="S265" s="15"/>
      <c r="T265" s="15"/>
    </row>
    <row r="266" spans="1:20" s="14" customFormat="1" ht="15" customHeight="1">
      <c r="A266" s="21"/>
      <c r="B266" s="22"/>
      <c r="C266" s="23"/>
      <c r="D266" s="24"/>
      <c r="E266" s="23"/>
      <c r="F266" s="1082"/>
      <c r="H266" s="15"/>
      <c r="I266" s="15"/>
      <c r="J266" s="15"/>
      <c r="K266" s="15"/>
      <c r="L266" s="15"/>
      <c r="M266" s="15"/>
      <c r="N266" s="15"/>
      <c r="O266" s="15"/>
      <c r="P266" s="15"/>
      <c r="Q266" s="15"/>
      <c r="R266" s="15"/>
      <c r="S266" s="15"/>
      <c r="T266" s="15"/>
    </row>
    <row r="267" spans="1:20" s="14" customFormat="1" ht="15" customHeight="1">
      <c r="A267" s="21"/>
      <c r="B267" s="22"/>
      <c r="C267" s="23"/>
      <c r="D267" s="24"/>
      <c r="E267" s="23"/>
      <c r="F267" s="1082"/>
      <c r="H267" s="15"/>
      <c r="I267" s="15"/>
      <c r="J267" s="15"/>
      <c r="K267" s="15"/>
      <c r="L267" s="15"/>
      <c r="M267" s="15"/>
      <c r="N267" s="15"/>
      <c r="O267" s="15"/>
      <c r="P267" s="15"/>
      <c r="Q267" s="15"/>
      <c r="R267" s="15"/>
      <c r="S267" s="15"/>
      <c r="T267" s="15"/>
    </row>
    <row r="268" spans="1:20" s="14" customFormat="1" ht="15" customHeight="1">
      <c r="A268" s="21"/>
      <c r="B268" s="22"/>
      <c r="C268" s="23"/>
      <c r="D268" s="24"/>
      <c r="E268" s="23"/>
      <c r="F268" s="1082"/>
      <c r="H268" s="15"/>
      <c r="I268" s="15"/>
      <c r="J268" s="15"/>
      <c r="K268" s="15"/>
      <c r="L268" s="15"/>
      <c r="M268" s="15"/>
      <c r="N268" s="15"/>
      <c r="O268" s="15"/>
      <c r="P268" s="15"/>
      <c r="Q268" s="15"/>
      <c r="R268" s="15"/>
      <c r="S268" s="15"/>
      <c r="T268" s="15"/>
    </row>
    <row r="269" spans="1:20" s="14" customFormat="1" ht="15" customHeight="1">
      <c r="A269" s="21"/>
      <c r="B269" s="22"/>
      <c r="C269" s="23"/>
      <c r="D269" s="24"/>
      <c r="E269" s="23"/>
      <c r="F269" s="1082"/>
      <c r="H269" s="15"/>
      <c r="I269" s="15"/>
      <c r="J269" s="15"/>
      <c r="K269" s="15"/>
      <c r="L269" s="15"/>
      <c r="M269" s="15"/>
      <c r="N269" s="15"/>
      <c r="O269" s="15"/>
      <c r="P269" s="15"/>
      <c r="Q269" s="15"/>
      <c r="R269" s="15"/>
      <c r="S269" s="15"/>
      <c r="T269" s="15"/>
    </row>
    <row r="270" spans="1:20" s="14" customFormat="1" ht="15" customHeight="1">
      <c r="A270" s="21"/>
      <c r="B270" s="22"/>
      <c r="C270" s="23"/>
      <c r="D270" s="24"/>
      <c r="E270" s="23"/>
      <c r="F270" s="1082"/>
      <c r="H270" s="15"/>
      <c r="I270" s="15"/>
      <c r="J270" s="15"/>
      <c r="K270" s="15"/>
      <c r="L270" s="15"/>
      <c r="M270" s="15"/>
      <c r="N270" s="15"/>
      <c r="O270" s="15"/>
      <c r="P270" s="15"/>
      <c r="Q270" s="15"/>
      <c r="R270" s="15"/>
      <c r="S270" s="15"/>
      <c r="T270" s="15"/>
    </row>
    <row r="271" spans="1:20" s="14" customFormat="1" ht="15" customHeight="1">
      <c r="A271" s="21"/>
      <c r="B271" s="22"/>
      <c r="C271" s="23"/>
      <c r="D271" s="24"/>
      <c r="E271" s="23"/>
      <c r="F271" s="1082"/>
      <c r="H271" s="15"/>
      <c r="I271" s="15"/>
      <c r="J271" s="15"/>
      <c r="K271" s="15"/>
      <c r="L271" s="15"/>
      <c r="M271" s="15"/>
      <c r="N271" s="15"/>
      <c r="O271" s="15"/>
      <c r="P271" s="15"/>
      <c r="Q271" s="15"/>
      <c r="R271" s="15"/>
      <c r="S271" s="15"/>
      <c r="T271" s="15"/>
    </row>
    <row r="272" spans="1:20" s="14" customFormat="1" ht="15" customHeight="1">
      <c r="A272" s="21"/>
      <c r="B272" s="22"/>
      <c r="C272" s="23"/>
      <c r="D272" s="24"/>
      <c r="E272" s="23"/>
      <c r="F272" s="1082"/>
      <c r="H272" s="15"/>
      <c r="I272" s="15"/>
      <c r="J272" s="15"/>
      <c r="K272" s="15"/>
      <c r="L272" s="15"/>
      <c r="M272" s="15"/>
      <c r="N272" s="15"/>
      <c r="O272" s="15"/>
      <c r="P272" s="15"/>
      <c r="Q272" s="15"/>
      <c r="R272" s="15"/>
      <c r="S272" s="15"/>
      <c r="T272" s="15"/>
    </row>
    <row r="273" spans="1:20" s="14" customFormat="1" ht="15" customHeight="1">
      <c r="A273" s="21"/>
      <c r="B273" s="22"/>
      <c r="C273" s="23"/>
      <c r="D273" s="24"/>
      <c r="E273" s="23"/>
      <c r="F273" s="1082"/>
      <c r="H273" s="15"/>
      <c r="I273" s="15"/>
      <c r="J273" s="15"/>
      <c r="K273" s="15"/>
      <c r="L273" s="15"/>
      <c r="M273" s="15"/>
      <c r="N273" s="15"/>
      <c r="O273" s="15"/>
      <c r="P273" s="15"/>
      <c r="Q273" s="15"/>
      <c r="R273" s="15"/>
      <c r="S273" s="15"/>
      <c r="T273" s="15"/>
    </row>
    <row r="274" spans="1:20" s="14" customFormat="1" ht="15" customHeight="1">
      <c r="A274" s="21"/>
      <c r="B274" s="22"/>
      <c r="C274" s="23"/>
      <c r="D274" s="24"/>
      <c r="E274" s="23"/>
      <c r="F274" s="1082"/>
      <c r="H274" s="15"/>
      <c r="I274" s="15"/>
      <c r="J274" s="15"/>
      <c r="K274" s="15"/>
      <c r="L274" s="15"/>
      <c r="M274" s="15"/>
      <c r="N274" s="15"/>
      <c r="O274" s="15"/>
      <c r="P274" s="15"/>
      <c r="Q274" s="15"/>
      <c r="R274" s="15"/>
      <c r="S274" s="15"/>
      <c r="T274" s="15"/>
    </row>
    <row r="275" spans="1:20" s="14" customFormat="1" ht="15" customHeight="1">
      <c r="A275" s="21"/>
      <c r="B275" s="22"/>
      <c r="C275" s="23"/>
      <c r="D275" s="24"/>
      <c r="E275" s="23"/>
      <c r="F275" s="1082"/>
      <c r="H275" s="15"/>
      <c r="I275" s="15"/>
      <c r="J275" s="15"/>
      <c r="K275" s="15"/>
      <c r="L275" s="15"/>
      <c r="M275" s="15"/>
      <c r="N275" s="15"/>
      <c r="O275" s="15"/>
      <c r="P275" s="15"/>
      <c r="Q275" s="15"/>
      <c r="R275" s="15"/>
      <c r="S275" s="15"/>
      <c r="T275" s="15"/>
    </row>
    <row r="276" spans="1:20" s="14" customFormat="1" ht="15" customHeight="1">
      <c r="A276" s="21"/>
      <c r="B276" s="22"/>
      <c r="C276" s="23"/>
      <c r="D276" s="24"/>
      <c r="E276" s="23"/>
      <c r="F276" s="1082"/>
      <c r="H276" s="15"/>
      <c r="I276" s="15"/>
      <c r="J276" s="15"/>
      <c r="K276" s="15"/>
      <c r="L276" s="15"/>
      <c r="M276" s="15"/>
      <c r="N276" s="15"/>
      <c r="O276" s="15"/>
      <c r="P276" s="15"/>
      <c r="Q276" s="15"/>
      <c r="R276" s="15"/>
      <c r="S276" s="15"/>
      <c r="T276" s="15"/>
    </row>
    <row r="277" spans="1:20" s="14" customFormat="1" ht="15" customHeight="1">
      <c r="A277" s="21"/>
      <c r="B277" s="22"/>
      <c r="C277" s="23"/>
      <c r="D277" s="24"/>
      <c r="E277" s="23"/>
      <c r="F277" s="1082"/>
      <c r="H277" s="15"/>
      <c r="I277" s="15"/>
      <c r="J277" s="15"/>
      <c r="K277" s="15"/>
      <c r="L277" s="15"/>
      <c r="M277" s="15"/>
      <c r="N277" s="15"/>
      <c r="O277" s="15"/>
      <c r="P277" s="15"/>
      <c r="Q277" s="15"/>
      <c r="R277" s="15"/>
      <c r="S277" s="15"/>
      <c r="T277" s="15"/>
    </row>
    <row r="278" spans="1:20" s="14" customFormat="1" ht="15" customHeight="1">
      <c r="A278" s="21"/>
      <c r="B278" s="22"/>
      <c r="C278" s="23"/>
      <c r="D278" s="24"/>
      <c r="E278" s="23"/>
      <c r="F278" s="1082"/>
      <c r="H278" s="15"/>
      <c r="I278" s="15"/>
      <c r="J278" s="15"/>
      <c r="K278" s="15"/>
      <c r="L278" s="15"/>
      <c r="M278" s="15"/>
      <c r="N278" s="15"/>
      <c r="O278" s="15"/>
      <c r="P278" s="15"/>
      <c r="Q278" s="15"/>
      <c r="R278" s="15"/>
      <c r="S278" s="15"/>
      <c r="T278" s="15"/>
    </row>
    <row r="279" spans="1:20" s="14" customFormat="1" ht="15" customHeight="1">
      <c r="A279" s="21"/>
      <c r="B279" s="22"/>
      <c r="C279" s="23"/>
      <c r="D279" s="24"/>
      <c r="E279" s="23"/>
      <c r="F279" s="1082"/>
      <c r="H279" s="15"/>
      <c r="I279" s="15"/>
      <c r="J279" s="15"/>
      <c r="K279" s="15"/>
      <c r="L279" s="15"/>
      <c r="M279" s="15"/>
      <c r="N279" s="15"/>
      <c r="O279" s="15"/>
      <c r="P279" s="15"/>
      <c r="Q279" s="15"/>
      <c r="R279" s="15"/>
      <c r="S279" s="15"/>
      <c r="T279" s="15"/>
    </row>
    <row r="280" spans="1:20" s="14" customFormat="1" ht="15" customHeight="1">
      <c r="A280" s="21"/>
      <c r="B280" s="22"/>
      <c r="C280" s="23"/>
      <c r="D280" s="24"/>
      <c r="E280" s="23"/>
      <c r="F280" s="1082"/>
      <c r="H280" s="15"/>
      <c r="I280" s="15"/>
      <c r="J280" s="15"/>
      <c r="K280" s="15"/>
      <c r="L280" s="15"/>
      <c r="M280" s="15"/>
      <c r="N280" s="15"/>
      <c r="O280" s="15"/>
      <c r="P280" s="15"/>
      <c r="Q280" s="15"/>
      <c r="R280" s="15"/>
      <c r="S280" s="15"/>
      <c r="T280" s="15"/>
    </row>
    <row r="281" spans="1:20" s="14" customFormat="1" ht="15" customHeight="1">
      <c r="A281" s="21"/>
      <c r="B281" s="22"/>
      <c r="C281" s="23"/>
      <c r="D281" s="24"/>
      <c r="E281" s="23"/>
      <c r="F281" s="1082"/>
      <c r="H281" s="15"/>
      <c r="I281" s="15"/>
      <c r="J281" s="15"/>
      <c r="K281" s="15"/>
      <c r="L281" s="15"/>
      <c r="M281" s="15"/>
      <c r="N281" s="15"/>
      <c r="O281" s="15"/>
      <c r="P281" s="15"/>
      <c r="Q281" s="15"/>
      <c r="R281" s="15"/>
      <c r="S281" s="15"/>
      <c r="T281" s="15"/>
    </row>
    <row r="282" spans="1:20" s="14" customFormat="1" ht="15" customHeight="1">
      <c r="A282" s="21"/>
      <c r="B282" s="22"/>
      <c r="C282" s="23"/>
      <c r="D282" s="24"/>
      <c r="E282" s="23"/>
      <c r="F282" s="1082"/>
      <c r="H282" s="15"/>
      <c r="I282" s="15"/>
      <c r="J282" s="15"/>
      <c r="K282" s="15"/>
      <c r="L282" s="15"/>
      <c r="M282" s="15"/>
      <c r="N282" s="15"/>
      <c r="O282" s="15"/>
      <c r="P282" s="15"/>
      <c r="Q282" s="15"/>
      <c r="R282" s="15"/>
      <c r="S282" s="15"/>
      <c r="T282" s="15"/>
    </row>
    <row r="283" spans="1:20" s="14" customFormat="1" ht="15" customHeight="1">
      <c r="A283" s="21"/>
      <c r="B283" s="22"/>
      <c r="C283" s="23"/>
      <c r="D283" s="24"/>
      <c r="E283" s="23"/>
      <c r="F283" s="1082"/>
      <c r="H283" s="15"/>
      <c r="I283" s="15"/>
      <c r="J283" s="15"/>
      <c r="K283" s="15"/>
      <c r="L283" s="15"/>
      <c r="M283" s="15"/>
      <c r="N283" s="15"/>
      <c r="O283" s="15"/>
      <c r="P283" s="15"/>
      <c r="Q283" s="15"/>
      <c r="R283" s="15"/>
      <c r="S283" s="15"/>
      <c r="T283" s="15"/>
    </row>
    <row r="284" spans="1:20" s="14" customFormat="1" ht="15" customHeight="1">
      <c r="A284" s="21"/>
      <c r="B284" s="22"/>
      <c r="C284" s="23"/>
      <c r="D284" s="24"/>
      <c r="E284" s="23"/>
      <c r="F284" s="1082"/>
      <c r="H284" s="15"/>
      <c r="I284" s="15"/>
      <c r="J284" s="15"/>
      <c r="K284" s="15"/>
      <c r="L284" s="15"/>
      <c r="M284" s="15"/>
      <c r="N284" s="15"/>
      <c r="O284" s="15"/>
      <c r="P284" s="15"/>
      <c r="Q284" s="15"/>
      <c r="R284" s="15"/>
      <c r="S284" s="15"/>
      <c r="T284" s="15"/>
    </row>
    <row r="285" spans="1:20" s="14" customFormat="1" ht="15" customHeight="1">
      <c r="A285" s="21"/>
      <c r="B285" s="22"/>
      <c r="C285" s="23"/>
      <c r="D285" s="24"/>
      <c r="E285" s="23"/>
      <c r="F285" s="1082"/>
      <c r="H285" s="15"/>
      <c r="I285" s="15"/>
      <c r="J285" s="15"/>
      <c r="K285" s="15"/>
      <c r="L285" s="15"/>
      <c r="M285" s="15"/>
      <c r="N285" s="15"/>
      <c r="O285" s="15"/>
      <c r="P285" s="15"/>
      <c r="Q285" s="15"/>
      <c r="R285" s="15"/>
      <c r="S285" s="15"/>
      <c r="T285" s="15"/>
    </row>
    <row r="286" spans="1:20" s="14" customFormat="1" ht="15" customHeight="1">
      <c r="A286" s="21"/>
      <c r="B286" s="22"/>
      <c r="C286" s="23"/>
      <c r="D286" s="24"/>
      <c r="E286" s="23"/>
      <c r="F286" s="1082"/>
      <c r="H286" s="15"/>
      <c r="I286" s="15"/>
      <c r="J286" s="15"/>
      <c r="K286" s="15"/>
      <c r="L286" s="15"/>
      <c r="M286" s="15"/>
      <c r="N286" s="15"/>
      <c r="O286" s="15"/>
      <c r="P286" s="15"/>
      <c r="Q286" s="15"/>
      <c r="R286" s="15"/>
      <c r="S286" s="15"/>
      <c r="T286" s="15"/>
    </row>
    <row r="287" spans="1:20" s="14" customFormat="1" ht="15" customHeight="1">
      <c r="A287" s="21"/>
      <c r="B287" s="22"/>
      <c r="C287" s="23"/>
      <c r="D287" s="24"/>
      <c r="E287" s="23"/>
      <c r="F287" s="1082"/>
      <c r="H287" s="15"/>
      <c r="I287" s="15"/>
      <c r="J287" s="15"/>
      <c r="K287" s="15"/>
      <c r="L287" s="15"/>
      <c r="M287" s="15"/>
      <c r="N287" s="15"/>
      <c r="O287" s="15"/>
      <c r="P287" s="15"/>
      <c r="Q287" s="15"/>
      <c r="R287" s="15"/>
      <c r="S287" s="15"/>
      <c r="T287" s="15"/>
    </row>
    <row r="288" spans="1:20" s="14" customFormat="1" ht="15" customHeight="1">
      <c r="A288" s="21"/>
      <c r="B288" s="22"/>
      <c r="C288" s="23"/>
      <c r="D288" s="24"/>
      <c r="E288" s="23"/>
      <c r="F288" s="1082"/>
      <c r="H288" s="15"/>
      <c r="I288" s="15"/>
      <c r="J288" s="15"/>
      <c r="K288" s="15"/>
      <c r="L288" s="15"/>
      <c r="M288" s="15"/>
      <c r="N288" s="15"/>
      <c r="O288" s="15"/>
      <c r="P288" s="15"/>
      <c r="Q288" s="15"/>
      <c r="R288" s="15"/>
      <c r="S288" s="15"/>
      <c r="T288" s="15"/>
    </row>
    <row r="289" spans="1:20" s="14" customFormat="1" ht="15" customHeight="1">
      <c r="A289" s="21"/>
      <c r="B289" s="22"/>
      <c r="C289" s="23"/>
      <c r="D289" s="24"/>
      <c r="E289" s="23"/>
      <c r="F289" s="1082"/>
      <c r="H289" s="15"/>
      <c r="I289" s="15"/>
      <c r="J289" s="15"/>
      <c r="K289" s="15"/>
      <c r="L289" s="15"/>
      <c r="M289" s="15"/>
      <c r="N289" s="15"/>
      <c r="O289" s="15"/>
      <c r="P289" s="15"/>
      <c r="Q289" s="15"/>
      <c r="R289" s="15"/>
      <c r="S289" s="15"/>
      <c r="T289" s="15"/>
    </row>
    <row r="290" spans="1:20" s="14" customFormat="1" ht="15" customHeight="1">
      <c r="A290" s="21"/>
      <c r="B290" s="22"/>
      <c r="C290" s="23"/>
      <c r="D290" s="24"/>
      <c r="E290" s="23"/>
      <c r="F290" s="1082"/>
      <c r="H290" s="15"/>
      <c r="I290" s="15"/>
      <c r="J290" s="15"/>
      <c r="K290" s="15"/>
      <c r="L290" s="15"/>
      <c r="M290" s="15"/>
      <c r="N290" s="15"/>
      <c r="O290" s="15"/>
      <c r="P290" s="15"/>
      <c r="Q290" s="15"/>
      <c r="R290" s="15"/>
      <c r="S290" s="15"/>
      <c r="T290" s="15"/>
    </row>
    <row r="291" spans="1:20" s="14" customFormat="1" ht="15" customHeight="1">
      <c r="A291" s="21"/>
      <c r="B291" s="22"/>
      <c r="C291" s="23"/>
      <c r="D291" s="24"/>
      <c r="E291" s="23"/>
      <c r="F291" s="1082"/>
      <c r="H291" s="15"/>
      <c r="I291" s="15"/>
      <c r="J291" s="15"/>
      <c r="K291" s="15"/>
      <c r="L291" s="15"/>
      <c r="M291" s="15"/>
      <c r="N291" s="15"/>
      <c r="O291" s="15"/>
      <c r="P291" s="15"/>
      <c r="Q291" s="15"/>
      <c r="R291" s="15"/>
      <c r="S291" s="15"/>
      <c r="T291" s="15"/>
    </row>
    <row r="292" spans="1:20" s="14" customFormat="1" ht="15" customHeight="1">
      <c r="A292" s="21"/>
      <c r="B292" s="22"/>
      <c r="C292" s="23"/>
      <c r="D292" s="24"/>
      <c r="E292" s="23"/>
      <c r="F292" s="1082"/>
      <c r="H292" s="15"/>
      <c r="I292" s="15"/>
      <c r="J292" s="15"/>
      <c r="K292" s="15"/>
      <c r="L292" s="15"/>
      <c r="M292" s="15"/>
      <c r="N292" s="15"/>
      <c r="O292" s="15"/>
      <c r="P292" s="15"/>
      <c r="Q292" s="15"/>
      <c r="R292" s="15"/>
      <c r="S292" s="15"/>
      <c r="T292" s="15"/>
    </row>
    <row r="293" spans="1:20" s="14" customFormat="1" ht="15" customHeight="1">
      <c r="A293" s="21"/>
      <c r="B293" s="22"/>
      <c r="C293" s="23"/>
      <c r="D293" s="24"/>
      <c r="E293" s="23"/>
      <c r="F293" s="1082"/>
      <c r="H293" s="15"/>
      <c r="I293" s="15"/>
      <c r="J293" s="15"/>
      <c r="K293" s="15"/>
      <c r="L293" s="15"/>
      <c r="M293" s="15"/>
      <c r="N293" s="15"/>
      <c r="O293" s="15"/>
      <c r="P293" s="15"/>
      <c r="Q293" s="15"/>
      <c r="R293" s="15"/>
      <c r="S293" s="15"/>
      <c r="T293" s="15"/>
    </row>
    <row r="294" spans="1:20" s="14" customFormat="1" ht="15" customHeight="1">
      <c r="A294" s="21"/>
      <c r="B294" s="22"/>
      <c r="C294" s="23"/>
      <c r="D294" s="24"/>
      <c r="E294" s="23"/>
      <c r="F294" s="1082"/>
      <c r="H294" s="15"/>
      <c r="I294" s="15"/>
      <c r="J294" s="15"/>
      <c r="K294" s="15"/>
      <c r="L294" s="15"/>
      <c r="M294" s="15"/>
      <c r="N294" s="15"/>
      <c r="O294" s="15"/>
      <c r="P294" s="15"/>
      <c r="Q294" s="15"/>
      <c r="R294" s="15"/>
      <c r="S294" s="15"/>
      <c r="T294" s="15"/>
    </row>
    <row r="295" spans="1:20" s="14" customFormat="1" ht="15" customHeight="1">
      <c r="A295" s="21"/>
      <c r="B295" s="22"/>
      <c r="C295" s="23"/>
      <c r="D295" s="24"/>
      <c r="E295" s="23"/>
      <c r="F295" s="1082"/>
      <c r="H295" s="15"/>
      <c r="I295" s="15"/>
      <c r="J295" s="15"/>
      <c r="K295" s="15"/>
      <c r="L295" s="15"/>
      <c r="M295" s="15"/>
      <c r="N295" s="15"/>
      <c r="O295" s="15"/>
      <c r="P295" s="15"/>
      <c r="Q295" s="15"/>
      <c r="R295" s="15"/>
      <c r="S295" s="15"/>
      <c r="T295" s="15"/>
    </row>
    <row r="296" spans="1:20" s="14" customFormat="1" ht="15" customHeight="1">
      <c r="A296" s="21"/>
      <c r="B296" s="22"/>
      <c r="C296" s="23"/>
      <c r="D296" s="24"/>
      <c r="E296" s="23"/>
      <c r="F296" s="1082"/>
      <c r="H296" s="15"/>
      <c r="I296" s="15"/>
      <c r="J296" s="15"/>
      <c r="K296" s="15"/>
      <c r="L296" s="15"/>
      <c r="M296" s="15"/>
      <c r="N296" s="15"/>
      <c r="O296" s="15"/>
      <c r="P296" s="15"/>
      <c r="Q296" s="15"/>
      <c r="R296" s="15"/>
      <c r="S296" s="15"/>
      <c r="T296" s="15"/>
    </row>
    <row r="297" spans="1:20" s="14" customFormat="1" ht="15" customHeight="1">
      <c r="A297" s="21"/>
      <c r="B297" s="22"/>
      <c r="C297" s="23"/>
      <c r="D297" s="24"/>
      <c r="E297" s="23"/>
      <c r="F297" s="1082"/>
      <c r="H297" s="15"/>
      <c r="I297" s="15"/>
      <c r="J297" s="15"/>
      <c r="K297" s="15"/>
      <c r="L297" s="15"/>
      <c r="M297" s="15"/>
      <c r="N297" s="15"/>
      <c r="O297" s="15"/>
      <c r="P297" s="15"/>
      <c r="Q297" s="15"/>
      <c r="R297" s="15"/>
      <c r="S297" s="15"/>
      <c r="T297" s="15"/>
    </row>
    <row r="298" spans="1:20" s="14" customFormat="1" ht="15" customHeight="1">
      <c r="A298" s="21"/>
      <c r="B298" s="22"/>
      <c r="C298" s="23"/>
      <c r="D298" s="24"/>
      <c r="E298" s="23"/>
      <c r="F298" s="1082"/>
      <c r="H298" s="15"/>
      <c r="I298" s="15"/>
      <c r="J298" s="15"/>
      <c r="K298" s="15"/>
      <c r="L298" s="15"/>
      <c r="M298" s="15"/>
      <c r="N298" s="15"/>
      <c r="O298" s="15"/>
      <c r="P298" s="15"/>
      <c r="Q298" s="15"/>
      <c r="R298" s="15"/>
      <c r="S298" s="15"/>
      <c r="T298" s="15"/>
    </row>
    <row r="299" spans="1:20" s="14" customFormat="1" ht="15" customHeight="1">
      <c r="A299" s="21"/>
      <c r="B299" s="22"/>
      <c r="C299" s="23"/>
      <c r="D299" s="24"/>
      <c r="E299" s="23"/>
      <c r="F299" s="1082"/>
      <c r="H299" s="15"/>
      <c r="I299" s="15"/>
      <c r="J299" s="15"/>
      <c r="K299" s="15"/>
      <c r="L299" s="15"/>
      <c r="M299" s="15"/>
      <c r="N299" s="15"/>
      <c r="O299" s="15"/>
      <c r="P299" s="15"/>
      <c r="Q299" s="15"/>
      <c r="R299" s="15"/>
      <c r="S299" s="15"/>
      <c r="T299" s="15"/>
    </row>
    <row r="300" spans="1:20" s="14" customFormat="1" ht="15" customHeight="1">
      <c r="A300" s="21"/>
      <c r="B300" s="22"/>
      <c r="C300" s="23"/>
      <c r="D300" s="24"/>
      <c r="E300" s="23"/>
      <c r="F300" s="1082"/>
      <c r="H300" s="15"/>
      <c r="I300" s="15"/>
      <c r="J300" s="15"/>
      <c r="K300" s="15"/>
      <c r="L300" s="15"/>
      <c r="M300" s="15"/>
      <c r="N300" s="15"/>
      <c r="O300" s="15"/>
      <c r="P300" s="15"/>
      <c r="Q300" s="15"/>
      <c r="R300" s="15"/>
      <c r="S300" s="15"/>
      <c r="T300" s="15"/>
    </row>
    <row r="301" spans="1:20" s="14" customFormat="1" ht="15" customHeight="1">
      <c r="A301" s="21"/>
      <c r="B301" s="22"/>
      <c r="C301" s="23"/>
      <c r="D301" s="24"/>
      <c r="E301" s="23"/>
      <c r="F301" s="1082"/>
      <c r="H301" s="15"/>
      <c r="I301" s="15"/>
      <c r="J301" s="15"/>
      <c r="K301" s="15"/>
      <c r="L301" s="15"/>
      <c r="M301" s="15"/>
      <c r="N301" s="15"/>
      <c r="O301" s="15"/>
      <c r="P301" s="15"/>
      <c r="Q301" s="15"/>
      <c r="R301" s="15"/>
      <c r="S301" s="15"/>
      <c r="T301" s="15"/>
    </row>
    <row r="302" spans="1:20" s="14" customFormat="1" ht="15" customHeight="1">
      <c r="A302" s="21"/>
      <c r="B302" s="22"/>
      <c r="C302" s="23"/>
      <c r="D302" s="24"/>
      <c r="E302" s="23"/>
      <c r="F302" s="1082"/>
      <c r="H302" s="15"/>
      <c r="I302" s="15"/>
      <c r="J302" s="15"/>
      <c r="K302" s="15"/>
      <c r="L302" s="15"/>
      <c r="M302" s="15"/>
      <c r="N302" s="15"/>
      <c r="O302" s="15"/>
      <c r="P302" s="15"/>
      <c r="Q302" s="15"/>
      <c r="R302" s="15"/>
      <c r="S302" s="15"/>
      <c r="T302" s="15"/>
    </row>
    <row r="303" spans="1:20" s="14" customFormat="1" ht="15" customHeight="1">
      <c r="A303" s="21"/>
      <c r="B303" s="22"/>
      <c r="C303" s="23"/>
      <c r="D303" s="24"/>
      <c r="E303" s="23"/>
      <c r="F303" s="1082"/>
      <c r="H303" s="15"/>
      <c r="I303" s="15"/>
      <c r="J303" s="15"/>
      <c r="K303" s="15"/>
      <c r="L303" s="15"/>
      <c r="M303" s="15"/>
      <c r="N303" s="15"/>
      <c r="O303" s="15"/>
      <c r="P303" s="15"/>
      <c r="Q303" s="15"/>
      <c r="R303" s="15"/>
      <c r="S303" s="15"/>
      <c r="T303" s="15"/>
    </row>
    <row r="304" spans="1:20" s="14" customFormat="1" ht="15" customHeight="1">
      <c r="A304" s="21"/>
      <c r="B304" s="22"/>
      <c r="C304" s="23"/>
      <c r="D304" s="24"/>
      <c r="E304" s="23"/>
      <c r="F304" s="1082"/>
      <c r="H304" s="15"/>
      <c r="I304" s="15"/>
      <c r="J304" s="15"/>
      <c r="K304" s="15"/>
      <c r="L304" s="15"/>
      <c r="M304" s="15"/>
      <c r="N304" s="15"/>
      <c r="O304" s="15"/>
      <c r="P304" s="15"/>
      <c r="Q304" s="15"/>
      <c r="R304" s="15"/>
      <c r="S304" s="15"/>
      <c r="T304" s="15"/>
    </row>
    <row r="305" spans="1:20" s="14" customFormat="1" ht="15" customHeight="1">
      <c r="A305" s="21"/>
      <c r="B305" s="22"/>
      <c r="C305" s="23"/>
      <c r="D305" s="24"/>
      <c r="E305" s="23"/>
      <c r="F305" s="1082"/>
      <c r="H305" s="15"/>
      <c r="I305" s="15"/>
      <c r="J305" s="15"/>
      <c r="K305" s="15"/>
      <c r="L305" s="15"/>
      <c r="M305" s="15"/>
      <c r="N305" s="15"/>
      <c r="O305" s="15"/>
      <c r="P305" s="15"/>
      <c r="Q305" s="15"/>
      <c r="R305" s="15"/>
      <c r="S305" s="15"/>
      <c r="T305" s="15"/>
    </row>
    <row r="306" spans="1:20" s="14" customFormat="1" ht="15" customHeight="1">
      <c r="A306" s="21"/>
      <c r="B306" s="22"/>
      <c r="C306" s="23"/>
      <c r="D306" s="24"/>
      <c r="E306" s="23"/>
      <c r="F306" s="1082"/>
      <c r="H306" s="15"/>
      <c r="I306" s="15"/>
      <c r="J306" s="15"/>
      <c r="K306" s="15"/>
      <c r="L306" s="15"/>
      <c r="M306" s="15"/>
      <c r="N306" s="15"/>
      <c r="O306" s="15"/>
      <c r="P306" s="15"/>
      <c r="Q306" s="15"/>
      <c r="R306" s="15"/>
      <c r="S306" s="15"/>
      <c r="T306" s="15"/>
    </row>
    <row r="307" spans="1:20" s="14" customFormat="1" ht="15" customHeight="1">
      <c r="A307" s="21"/>
      <c r="B307" s="22"/>
      <c r="C307" s="23"/>
      <c r="D307" s="24"/>
      <c r="E307" s="23"/>
      <c r="F307" s="1082"/>
      <c r="H307" s="15"/>
      <c r="I307" s="15"/>
      <c r="J307" s="15"/>
      <c r="K307" s="15"/>
      <c r="L307" s="15"/>
      <c r="M307" s="15"/>
      <c r="N307" s="15"/>
      <c r="O307" s="15"/>
      <c r="P307" s="15"/>
      <c r="Q307" s="15"/>
      <c r="R307" s="15"/>
      <c r="S307" s="15"/>
      <c r="T307" s="15"/>
    </row>
    <row r="308" spans="1:20" s="14" customFormat="1" ht="15" customHeight="1">
      <c r="A308" s="21"/>
      <c r="B308" s="22"/>
      <c r="C308" s="23"/>
      <c r="D308" s="24"/>
      <c r="E308" s="23"/>
      <c r="F308" s="1082"/>
      <c r="H308" s="15"/>
      <c r="I308" s="15"/>
      <c r="J308" s="15"/>
      <c r="K308" s="15"/>
      <c r="L308" s="15"/>
      <c r="M308" s="15"/>
      <c r="N308" s="15"/>
      <c r="O308" s="15"/>
      <c r="P308" s="15"/>
      <c r="Q308" s="15"/>
      <c r="R308" s="15"/>
      <c r="S308" s="15"/>
      <c r="T308" s="15"/>
    </row>
    <row r="309" spans="1:20" s="14" customFormat="1" ht="15" customHeight="1">
      <c r="A309" s="21"/>
      <c r="B309" s="22"/>
      <c r="C309" s="23"/>
      <c r="D309" s="24"/>
      <c r="E309" s="23"/>
      <c r="F309" s="1082"/>
      <c r="H309" s="15"/>
      <c r="I309" s="15"/>
      <c r="J309" s="15"/>
      <c r="K309" s="15"/>
      <c r="L309" s="15"/>
      <c r="M309" s="15"/>
      <c r="N309" s="15"/>
      <c r="O309" s="15"/>
      <c r="P309" s="15"/>
      <c r="Q309" s="15"/>
      <c r="R309" s="15"/>
      <c r="S309" s="15"/>
      <c r="T309" s="15"/>
    </row>
    <row r="310" spans="1:20" s="14" customFormat="1" ht="15" customHeight="1">
      <c r="A310" s="21"/>
      <c r="B310" s="22"/>
      <c r="C310" s="23"/>
      <c r="D310" s="24"/>
      <c r="E310" s="23"/>
      <c r="F310" s="1082"/>
      <c r="H310" s="15"/>
      <c r="I310" s="15"/>
      <c r="J310" s="15"/>
      <c r="K310" s="15"/>
      <c r="L310" s="15"/>
      <c r="M310" s="15"/>
      <c r="N310" s="15"/>
      <c r="O310" s="15"/>
      <c r="P310" s="15"/>
      <c r="Q310" s="15"/>
      <c r="R310" s="15"/>
      <c r="S310" s="15"/>
      <c r="T310" s="15"/>
    </row>
    <row r="311" spans="1:20" s="14" customFormat="1" ht="15" customHeight="1">
      <c r="A311" s="21"/>
      <c r="B311" s="22"/>
      <c r="C311" s="23"/>
      <c r="D311" s="24"/>
      <c r="E311" s="23"/>
      <c r="F311" s="1082"/>
      <c r="H311" s="15"/>
      <c r="I311" s="15"/>
      <c r="J311" s="15"/>
      <c r="K311" s="15"/>
      <c r="L311" s="15"/>
      <c r="M311" s="15"/>
      <c r="N311" s="15"/>
      <c r="O311" s="15"/>
      <c r="P311" s="15"/>
      <c r="Q311" s="15"/>
      <c r="R311" s="15"/>
      <c r="S311" s="15"/>
      <c r="T311" s="15"/>
    </row>
    <row r="312" spans="1:20" s="14" customFormat="1" ht="15" customHeight="1">
      <c r="A312" s="21"/>
      <c r="B312" s="22"/>
      <c r="C312" s="23"/>
      <c r="D312" s="24"/>
      <c r="E312" s="23"/>
      <c r="F312" s="1082"/>
      <c r="H312" s="15"/>
      <c r="I312" s="15"/>
      <c r="J312" s="15"/>
      <c r="K312" s="15"/>
      <c r="L312" s="15"/>
      <c r="M312" s="15"/>
      <c r="N312" s="15"/>
      <c r="O312" s="15"/>
      <c r="P312" s="15"/>
      <c r="Q312" s="15"/>
      <c r="R312" s="15"/>
      <c r="S312" s="15"/>
      <c r="T312" s="15"/>
    </row>
    <row r="313" spans="1:20" s="14" customFormat="1" ht="15" customHeight="1">
      <c r="A313" s="21"/>
      <c r="B313" s="22"/>
      <c r="C313" s="23"/>
      <c r="D313" s="24"/>
      <c r="E313" s="23"/>
      <c r="F313" s="1082"/>
      <c r="H313" s="15"/>
      <c r="I313" s="15"/>
      <c r="J313" s="15"/>
      <c r="K313" s="15"/>
      <c r="L313" s="15"/>
      <c r="M313" s="15"/>
      <c r="N313" s="15"/>
      <c r="O313" s="15"/>
      <c r="P313" s="15"/>
      <c r="Q313" s="15"/>
      <c r="R313" s="15"/>
      <c r="S313" s="15"/>
      <c r="T313" s="15"/>
    </row>
    <row r="314" spans="1:20" s="14" customFormat="1" ht="15" customHeight="1">
      <c r="A314" s="21"/>
      <c r="B314" s="22"/>
      <c r="C314" s="23"/>
      <c r="D314" s="24"/>
      <c r="E314" s="23"/>
      <c r="F314" s="1082"/>
      <c r="H314" s="15"/>
      <c r="I314" s="15"/>
      <c r="J314" s="15"/>
      <c r="K314" s="15"/>
      <c r="L314" s="15"/>
      <c r="M314" s="15"/>
      <c r="N314" s="15"/>
      <c r="O314" s="15"/>
      <c r="P314" s="15"/>
      <c r="Q314" s="15"/>
      <c r="R314" s="15"/>
      <c r="S314" s="15"/>
      <c r="T314" s="15"/>
    </row>
    <row r="315" spans="1:20" s="14" customFormat="1" ht="15" customHeight="1">
      <c r="A315" s="21"/>
      <c r="B315" s="22"/>
      <c r="C315" s="23"/>
      <c r="D315" s="24"/>
      <c r="E315" s="23"/>
      <c r="F315" s="1082"/>
      <c r="H315" s="15"/>
      <c r="I315" s="15"/>
      <c r="J315" s="15"/>
      <c r="K315" s="15"/>
      <c r="L315" s="15"/>
      <c r="M315" s="15"/>
      <c r="N315" s="15"/>
      <c r="O315" s="15"/>
      <c r="P315" s="15"/>
      <c r="Q315" s="15"/>
      <c r="R315" s="15"/>
      <c r="S315" s="15"/>
      <c r="T315" s="15"/>
    </row>
    <row r="316" spans="1:20" s="14" customFormat="1" ht="15" customHeight="1">
      <c r="A316" s="21"/>
      <c r="B316" s="22"/>
      <c r="C316" s="23"/>
      <c r="D316" s="24"/>
      <c r="E316" s="23"/>
      <c r="F316" s="1082"/>
      <c r="H316" s="15"/>
      <c r="I316" s="15"/>
      <c r="J316" s="15"/>
      <c r="K316" s="15"/>
      <c r="L316" s="15"/>
      <c r="M316" s="15"/>
      <c r="N316" s="15"/>
      <c r="O316" s="15"/>
      <c r="P316" s="15"/>
      <c r="Q316" s="15"/>
      <c r="R316" s="15"/>
      <c r="S316" s="15"/>
      <c r="T316" s="15"/>
    </row>
    <row r="317" spans="1:20" s="14" customFormat="1" ht="15" customHeight="1">
      <c r="A317" s="21"/>
      <c r="B317" s="22"/>
      <c r="C317" s="23"/>
      <c r="D317" s="24"/>
      <c r="E317" s="23"/>
      <c r="F317" s="1082"/>
      <c r="H317" s="15"/>
      <c r="I317" s="15"/>
      <c r="J317" s="15"/>
      <c r="K317" s="15"/>
      <c r="L317" s="15"/>
      <c r="M317" s="15"/>
      <c r="N317" s="15"/>
      <c r="O317" s="15"/>
      <c r="P317" s="15"/>
      <c r="Q317" s="15"/>
      <c r="R317" s="15"/>
      <c r="S317" s="15"/>
      <c r="T317" s="15"/>
    </row>
    <row r="318" spans="1:20" s="14" customFormat="1" ht="15" customHeight="1">
      <c r="A318" s="21"/>
      <c r="B318" s="22"/>
      <c r="C318" s="23"/>
      <c r="D318" s="24"/>
      <c r="E318" s="23"/>
      <c r="F318" s="1082"/>
      <c r="H318" s="15"/>
      <c r="I318" s="15"/>
      <c r="J318" s="15"/>
      <c r="K318" s="15"/>
      <c r="L318" s="15"/>
      <c r="M318" s="15"/>
      <c r="N318" s="15"/>
      <c r="O318" s="15"/>
      <c r="P318" s="15"/>
      <c r="Q318" s="15"/>
      <c r="R318" s="15"/>
      <c r="S318" s="15"/>
      <c r="T318" s="15"/>
    </row>
    <row r="319" spans="1:20" s="14" customFormat="1" ht="15" customHeight="1">
      <c r="A319" s="21"/>
      <c r="B319" s="22"/>
      <c r="C319" s="23"/>
      <c r="D319" s="24"/>
      <c r="E319" s="23"/>
      <c r="F319" s="1082"/>
      <c r="H319" s="15"/>
      <c r="I319" s="15"/>
      <c r="J319" s="15"/>
      <c r="K319" s="15"/>
      <c r="L319" s="15"/>
      <c r="M319" s="15"/>
      <c r="N319" s="15"/>
      <c r="O319" s="15"/>
      <c r="P319" s="15"/>
      <c r="Q319" s="15"/>
      <c r="R319" s="15"/>
      <c r="S319" s="15"/>
      <c r="T319" s="15"/>
    </row>
    <row r="320" spans="1:20" s="14" customFormat="1" ht="15" customHeight="1">
      <c r="A320" s="21"/>
      <c r="B320" s="22"/>
      <c r="C320" s="23"/>
      <c r="D320" s="24"/>
      <c r="E320" s="23"/>
      <c r="F320" s="1082"/>
      <c r="H320" s="15"/>
      <c r="I320" s="15"/>
      <c r="J320" s="15"/>
      <c r="K320" s="15"/>
      <c r="L320" s="15"/>
      <c r="M320" s="15"/>
      <c r="N320" s="15"/>
      <c r="O320" s="15"/>
      <c r="P320" s="15"/>
      <c r="Q320" s="15"/>
      <c r="R320" s="15"/>
      <c r="S320" s="15"/>
      <c r="T320" s="15"/>
    </row>
    <row r="321" spans="1:20" s="14" customFormat="1" ht="15" customHeight="1">
      <c r="A321" s="21"/>
      <c r="B321" s="22"/>
      <c r="C321" s="23"/>
      <c r="D321" s="24"/>
      <c r="E321" s="23"/>
      <c r="F321" s="1082"/>
      <c r="H321" s="15"/>
      <c r="I321" s="15"/>
      <c r="J321" s="15"/>
      <c r="K321" s="15"/>
      <c r="L321" s="15"/>
      <c r="M321" s="15"/>
      <c r="N321" s="15"/>
      <c r="O321" s="15"/>
      <c r="P321" s="15"/>
      <c r="Q321" s="15"/>
      <c r="R321" s="15"/>
      <c r="S321" s="15"/>
      <c r="T321" s="15"/>
    </row>
    <row r="322" spans="1:20" s="14" customFormat="1" ht="15" customHeight="1">
      <c r="A322" s="21"/>
      <c r="B322" s="22"/>
      <c r="C322" s="23"/>
      <c r="D322" s="24"/>
      <c r="E322" s="23"/>
      <c r="F322" s="1082"/>
      <c r="H322" s="15"/>
      <c r="I322" s="15"/>
      <c r="J322" s="15"/>
      <c r="K322" s="15"/>
      <c r="L322" s="15"/>
      <c r="M322" s="15"/>
      <c r="N322" s="15"/>
      <c r="O322" s="15"/>
      <c r="P322" s="15"/>
      <c r="Q322" s="15"/>
      <c r="R322" s="15"/>
      <c r="S322" s="15"/>
      <c r="T322" s="15"/>
    </row>
    <row r="323" spans="1:20" s="14" customFormat="1" ht="15" customHeight="1">
      <c r="A323" s="21"/>
      <c r="B323" s="22"/>
      <c r="C323" s="23"/>
      <c r="D323" s="24"/>
      <c r="E323" s="23"/>
      <c r="F323" s="1082"/>
      <c r="H323" s="15"/>
      <c r="I323" s="15"/>
      <c r="J323" s="15"/>
      <c r="K323" s="15"/>
      <c r="L323" s="15"/>
      <c r="M323" s="15"/>
      <c r="N323" s="15"/>
      <c r="O323" s="15"/>
      <c r="P323" s="15"/>
      <c r="Q323" s="15"/>
      <c r="R323" s="15"/>
      <c r="S323" s="15"/>
      <c r="T323" s="15"/>
    </row>
    <row r="324" spans="1:20" s="14" customFormat="1" ht="15" customHeight="1">
      <c r="A324" s="21"/>
      <c r="B324" s="22"/>
      <c r="C324" s="23"/>
      <c r="D324" s="24"/>
      <c r="E324" s="23"/>
      <c r="F324" s="1082"/>
      <c r="H324" s="15"/>
      <c r="I324" s="15"/>
      <c r="J324" s="15"/>
      <c r="K324" s="15"/>
      <c r="L324" s="15"/>
      <c r="M324" s="15"/>
      <c r="N324" s="15"/>
      <c r="O324" s="15"/>
      <c r="P324" s="15"/>
      <c r="Q324" s="15"/>
      <c r="R324" s="15"/>
      <c r="S324" s="15"/>
      <c r="T324" s="15"/>
    </row>
    <row r="325" spans="1:20" s="14" customFormat="1" ht="15" customHeight="1">
      <c r="A325" s="21"/>
      <c r="B325" s="22"/>
      <c r="C325" s="23"/>
      <c r="D325" s="24"/>
      <c r="E325" s="23"/>
      <c r="F325" s="1082"/>
      <c r="H325" s="15"/>
      <c r="I325" s="15"/>
      <c r="J325" s="15"/>
      <c r="K325" s="15"/>
      <c r="L325" s="15"/>
      <c r="M325" s="15"/>
      <c r="N325" s="15"/>
      <c r="O325" s="15"/>
      <c r="P325" s="15"/>
      <c r="Q325" s="15"/>
      <c r="R325" s="15"/>
      <c r="S325" s="15"/>
      <c r="T325" s="15"/>
    </row>
    <row r="326" spans="1:20" s="14" customFormat="1" ht="15" customHeight="1">
      <c r="A326" s="21"/>
      <c r="B326" s="22"/>
      <c r="C326" s="23"/>
      <c r="D326" s="24"/>
      <c r="E326" s="23"/>
      <c r="F326" s="1082"/>
      <c r="H326" s="15"/>
      <c r="I326" s="15"/>
      <c r="J326" s="15"/>
      <c r="K326" s="15"/>
      <c r="L326" s="15"/>
      <c r="M326" s="15"/>
      <c r="N326" s="15"/>
      <c r="O326" s="15"/>
      <c r="P326" s="15"/>
      <c r="Q326" s="15"/>
      <c r="R326" s="15"/>
      <c r="S326" s="15"/>
      <c r="T326" s="15"/>
    </row>
    <row r="327" spans="1:20" s="14" customFormat="1" ht="15" customHeight="1">
      <c r="A327" s="21"/>
      <c r="B327" s="22"/>
      <c r="C327" s="23"/>
      <c r="D327" s="24"/>
      <c r="E327" s="23"/>
      <c r="F327" s="1082"/>
      <c r="H327" s="15"/>
      <c r="I327" s="15"/>
      <c r="J327" s="15"/>
      <c r="K327" s="15"/>
      <c r="L327" s="15"/>
      <c r="M327" s="15"/>
      <c r="N327" s="15"/>
      <c r="O327" s="15"/>
      <c r="P327" s="15"/>
      <c r="Q327" s="15"/>
      <c r="R327" s="15"/>
      <c r="S327" s="15"/>
      <c r="T327" s="15"/>
    </row>
    <row r="328" spans="1:20" s="14" customFormat="1" ht="15" customHeight="1">
      <c r="A328" s="21"/>
      <c r="B328" s="22"/>
      <c r="C328" s="23"/>
      <c r="D328" s="24"/>
      <c r="E328" s="23"/>
      <c r="F328" s="1082"/>
      <c r="H328" s="15"/>
      <c r="I328" s="15"/>
      <c r="J328" s="15"/>
      <c r="K328" s="15"/>
      <c r="L328" s="15"/>
      <c r="M328" s="15"/>
      <c r="N328" s="15"/>
      <c r="O328" s="15"/>
      <c r="P328" s="15"/>
      <c r="Q328" s="15"/>
      <c r="R328" s="15"/>
      <c r="S328" s="15"/>
      <c r="T328" s="15"/>
    </row>
    <row r="329" spans="1:20" s="14" customFormat="1" ht="15" customHeight="1">
      <c r="A329" s="21"/>
      <c r="B329" s="22"/>
      <c r="C329" s="23"/>
      <c r="D329" s="24"/>
      <c r="E329" s="23"/>
      <c r="F329" s="1082"/>
      <c r="H329" s="15"/>
      <c r="I329" s="15"/>
      <c r="J329" s="15"/>
      <c r="K329" s="15"/>
      <c r="L329" s="15"/>
      <c r="M329" s="15"/>
      <c r="N329" s="15"/>
      <c r="O329" s="15"/>
      <c r="P329" s="15"/>
      <c r="Q329" s="15"/>
      <c r="R329" s="15"/>
      <c r="S329" s="15"/>
      <c r="T329" s="15"/>
    </row>
    <row r="330" spans="1:20" s="14" customFormat="1" ht="15" customHeight="1">
      <c r="A330" s="21"/>
      <c r="B330" s="22"/>
      <c r="C330" s="23"/>
      <c r="D330" s="24"/>
      <c r="E330" s="23"/>
      <c r="F330" s="1082"/>
      <c r="H330" s="15"/>
      <c r="I330" s="15"/>
      <c r="J330" s="15"/>
      <c r="K330" s="15"/>
      <c r="L330" s="15"/>
      <c r="M330" s="15"/>
      <c r="N330" s="15"/>
      <c r="O330" s="15"/>
      <c r="P330" s="15"/>
      <c r="Q330" s="15"/>
      <c r="R330" s="15"/>
      <c r="S330" s="15"/>
      <c r="T330" s="15"/>
    </row>
    <row r="331" spans="1:20" s="14" customFormat="1" ht="15" customHeight="1">
      <c r="A331" s="21"/>
      <c r="B331" s="22"/>
      <c r="C331" s="23"/>
      <c r="D331" s="24"/>
      <c r="E331" s="23"/>
      <c r="F331" s="1082"/>
      <c r="H331" s="15"/>
      <c r="I331" s="15"/>
      <c r="J331" s="15"/>
      <c r="K331" s="15"/>
      <c r="L331" s="15"/>
      <c r="M331" s="15"/>
      <c r="N331" s="15"/>
      <c r="O331" s="15"/>
      <c r="P331" s="15"/>
      <c r="Q331" s="15"/>
      <c r="R331" s="15"/>
      <c r="S331" s="15"/>
      <c r="T331" s="15"/>
    </row>
    <row r="332" spans="1:20" s="14" customFormat="1" ht="15" customHeight="1">
      <c r="A332" s="21"/>
      <c r="B332" s="22"/>
      <c r="C332" s="23"/>
      <c r="D332" s="24"/>
      <c r="E332" s="23"/>
      <c r="F332" s="1082"/>
      <c r="H332" s="15"/>
      <c r="I332" s="15"/>
      <c r="J332" s="15"/>
      <c r="K332" s="15"/>
      <c r="L332" s="15"/>
      <c r="M332" s="15"/>
      <c r="N332" s="15"/>
      <c r="O332" s="15"/>
      <c r="P332" s="15"/>
      <c r="Q332" s="15"/>
      <c r="R332" s="15"/>
      <c r="S332" s="15"/>
      <c r="T332" s="15"/>
    </row>
    <row r="333" spans="1:20" s="14" customFormat="1" ht="15" customHeight="1">
      <c r="A333" s="21"/>
      <c r="B333" s="22"/>
      <c r="C333" s="23"/>
      <c r="D333" s="24"/>
      <c r="E333" s="23"/>
      <c r="F333" s="1082"/>
      <c r="H333" s="15"/>
      <c r="I333" s="15"/>
      <c r="J333" s="15"/>
      <c r="K333" s="15"/>
      <c r="L333" s="15"/>
      <c r="M333" s="15"/>
      <c r="N333" s="15"/>
      <c r="O333" s="15"/>
      <c r="P333" s="15"/>
      <c r="Q333" s="15"/>
      <c r="R333" s="15"/>
      <c r="S333" s="15"/>
      <c r="T333" s="15"/>
    </row>
    <row r="334" spans="1:20" s="14" customFormat="1" ht="15" customHeight="1">
      <c r="A334" s="21"/>
      <c r="B334" s="22"/>
      <c r="C334" s="23"/>
      <c r="D334" s="24"/>
      <c r="E334" s="23"/>
      <c r="F334" s="1082"/>
      <c r="H334" s="15"/>
      <c r="I334" s="15"/>
      <c r="J334" s="15"/>
      <c r="K334" s="15"/>
      <c r="L334" s="15"/>
      <c r="M334" s="15"/>
      <c r="N334" s="15"/>
      <c r="O334" s="15"/>
      <c r="P334" s="15"/>
      <c r="Q334" s="15"/>
      <c r="R334" s="15"/>
      <c r="S334" s="15"/>
      <c r="T334" s="15"/>
    </row>
    <row r="335" spans="1:20" s="14" customFormat="1" ht="15" customHeight="1">
      <c r="A335" s="21"/>
      <c r="B335" s="22"/>
      <c r="C335" s="23"/>
      <c r="D335" s="24"/>
      <c r="E335" s="23"/>
      <c r="F335" s="1082"/>
      <c r="H335" s="15"/>
      <c r="I335" s="15"/>
      <c r="J335" s="15"/>
      <c r="K335" s="15"/>
      <c r="L335" s="15"/>
      <c r="M335" s="15"/>
      <c r="N335" s="15"/>
      <c r="O335" s="15"/>
      <c r="P335" s="15"/>
      <c r="Q335" s="15"/>
      <c r="R335" s="15"/>
      <c r="S335" s="15"/>
      <c r="T335" s="15"/>
    </row>
    <row r="336" spans="1:20" s="14" customFormat="1" ht="15" customHeight="1">
      <c r="A336" s="21"/>
      <c r="B336" s="22"/>
      <c r="C336" s="23"/>
      <c r="D336" s="24"/>
      <c r="E336" s="23"/>
      <c r="F336" s="1082"/>
      <c r="H336" s="15"/>
      <c r="I336" s="15"/>
      <c r="J336" s="15"/>
      <c r="K336" s="15"/>
      <c r="L336" s="15"/>
      <c r="M336" s="15"/>
      <c r="N336" s="15"/>
      <c r="O336" s="15"/>
      <c r="P336" s="15"/>
      <c r="Q336" s="15"/>
      <c r="R336" s="15"/>
      <c r="S336" s="15"/>
      <c r="T336" s="15"/>
    </row>
    <row r="337" spans="1:20" s="14" customFormat="1" ht="15" customHeight="1">
      <c r="A337" s="21"/>
      <c r="B337" s="22"/>
      <c r="C337" s="23"/>
      <c r="D337" s="24"/>
      <c r="E337" s="23"/>
      <c r="F337" s="1082"/>
      <c r="H337" s="15"/>
      <c r="I337" s="15"/>
      <c r="J337" s="15"/>
      <c r="K337" s="15"/>
      <c r="L337" s="15"/>
      <c r="M337" s="15"/>
      <c r="N337" s="15"/>
      <c r="O337" s="15"/>
      <c r="P337" s="15"/>
      <c r="Q337" s="15"/>
      <c r="R337" s="15"/>
      <c r="S337" s="15"/>
      <c r="T337" s="15"/>
    </row>
    <row r="338" spans="1:20" s="14" customFormat="1" ht="15" customHeight="1">
      <c r="A338" s="21"/>
      <c r="B338" s="22"/>
      <c r="C338" s="23"/>
      <c r="D338" s="24"/>
      <c r="E338" s="23"/>
      <c r="F338" s="1082"/>
      <c r="H338" s="15"/>
      <c r="I338" s="15"/>
      <c r="J338" s="15"/>
      <c r="K338" s="15"/>
      <c r="L338" s="15"/>
      <c r="M338" s="15"/>
      <c r="N338" s="15"/>
      <c r="O338" s="15"/>
      <c r="P338" s="15"/>
      <c r="Q338" s="15"/>
      <c r="R338" s="15"/>
      <c r="S338" s="15"/>
      <c r="T338" s="15"/>
    </row>
    <row r="339" spans="1:20" s="14" customFormat="1" ht="15" customHeight="1">
      <c r="A339" s="21"/>
      <c r="B339" s="22"/>
      <c r="C339" s="23"/>
      <c r="D339" s="24"/>
      <c r="E339" s="23"/>
      <c r="F339" s="1082"/>
      <c r="H339" s="15"/>
      <c r="I339" s="15"/>
      <c r="J339" s="15"/>
      <c r="K339" s="15"/>
      <c r="L339" s="15"/>
      <c r="M339" s="15"/>
      <c r="N339" s="15"/>
      <c r="O339" s="15"/>
      <c r="P339" s="15"/>
      <c r="Q339" s="15"/>
      <c r="R339" s="15"/>
      <c r="S339" s="15"/>
      <c r="T339" s="15"/>
    </row>
    <row r="340" spans="1:20" s="14" customFormat="1" ht="15" customHeight="1">
      <c r="A340" s="21"/>
      <c r="B340" s="22"/>
      <c r="C340" s="23"/>
      <c r="D340" s="24"/>
      <c r="E340" s="23"/>
      <c r="F340" s="1082"/>
      <c r="H340" s="15"/>
      <c r="I340" s="15"/>
      <c r="J340" s="15"/>
      <c r="K340" s="15"/>
      <c r="L340" s="15"/>
      <c r="M340" s="15"/>
      <c r="N340" s="15"/>
      <c r="O340" s="15"/>
      <c r="P340" s="15"/>
      <c r="Q340" s="15"/>
      <c r="R340" s="15"/>
      <c r="S340" s="15"/>
      <c r="T340" s="15"/>
    </row>
    <row r="341" spans="1:20" s="14" customFormat="1" ht="15" customHeight="1">
      <c r="A341" s="21"/>
      <c r="B341" s="22"/>
      <c r="C341" s="23"/>
      <c r="D341" s="24"/>
      <c r="E341" s="23"/>
      <c r="F341" s="1082"/>
      <c r="H341" s="15"/>
      <c r="I341" s="15"/>
      <c r="J341" s="15"/>
      <c r="K341" s="15"/>
      <c r="L341" s="15"/>
      <c r="M341" s="15"/>
      <c r="N341" s="15"/>
      <c r="O341" s="15"/>
      <c r="P341" s="15"/>
      <c r="Q341" s="15"/>
      <c r="R341" s="15"/>
      <c r="S341" s="15"/>
      <c r="T341" s="15"/>
    </row>
    <row r="342" spans="1:20" s="14" customFormat="1" ht="15" customHeight="1">
      <c r="A342" s="21"/>
      <c r="B342" s="22"/>
      <c r="C342" s="23"/>
      <c r="D342" s="24"/>
      <c r="E342" s="23"/>
      <c r="F342" s="1082"/>
      <c r="H342" s="15"/>
      <c r="I342" s="15"/>
      <c r="J342" s="15"/>
      <c r="K342" s="15"/>
      <c r="L342" s="15"/>
      <c r="M342" s="15"/>
      <c r="N342" s="15"/>
      <c r="O342" s="15"/>
      <c r="P342" s="15"/>
      <c r="Q342" s="15"/>
      <c r="R342" s="15"/>
      <c r="S342" s="15"/>
      <c r="T342" s="15"/>
    </row>
    <row r="343" spans="1:20" s="14" customFormat="1" ht="15" customHeight="1">
      <c r="A343" s="21"/>
      <c r="B343" s="22"/>
      <c r="C343" s="23"/>
      <c r="D343" s="24"/>
      <c r="E343" s="23"/>
      <c r="F343" s="1082"/>
      <c r="H343" s="15"/>
      <c r="I343" s="15"/>
      <c r="J343" s="15"/>
      <c r="K343" s="15"/>
      <c r="L343" s="15"/>
      <c r="M343" s="15"/>
      <c r="N343" s="15"/>
      <c r="O343" s="15"/>
      <c r="P343" s="15"/>
      <c r="Q343" s="15"/>
      <c r="R343" s="15"/>
      <c r="S343" s="15"/>
      <c r="T343" s="15"/>
    </row>
    <row r="344" spans="1:20" s="14" customFormat="1" ht="15" customHeight="1">
      <c r="A344" s="21"/>
      <c r="B344" s="22"/>
      <c r="C344" s="23"/>
      <c r="D344" s="24"/>
      <c r="E344" s="23"/>
      <c r="F344" s="1082"/>
      <c r="H344" s="15"/>
      <c r="I344" s="15"/>
      <c r="J344" s="15"/>
      <c r="K344" s="15"/>
      <c r="L344" s="15"/>
      <c r="M344" s="15"/>
      <c r="N344" s="15"/>
      <c r="O344" s="15"/>
      <c r="P344" s="15"/>
      <c r="Q344" s="15"/>
      <c r="R344" s="15"/>
      <c r="S344" s="15"/>
      <c r="T344" s="15"/>
    </row>
    <row r="345" spans="1:20" s="14" customFormat="1" ht="15" customHeight="1">
      <c r="A345" s="21"/>
      <c r="B345" s="22"/>
      <c r="C345" s="23"/>
      <c r="D345" s="24"/>
      <c r="E345" s="23"/>
      <c r="F345" s="1082"/>
      <c r="H345" s="15"/>
      <c r="I345" s="15"/>
      <c r="J345" s="15"/>
      <c r="K345" s="15"/>
      <c r="L345" s="15"/>
      <c r="M345" s="15"/>
      <c r="N345" s="15"/>
      <c r="O345" s="15"/>
      <c r="P345" s="15"/>
      <c r="Q345" s="15"/>
      <c r="R345" s="15"/>
      <c r="S345" s="15"/>
      <c r="T345" s="15"/>
    </row>
    <row r="346" spans="1:20" s="14" customFormat="1" ht="15" customHeight="1">
      <c r="A346" s="21"/>
      <c r="B346" s="22"/>
      <c r="C346" s="23"/>
      <c r="D346" s="24"/>
      <c r="E346" s="23"/>
      <c r="F346" s="1082"/>
      <c r="H346" s="15"/>
      <c r="I346" s="15"/>
      <c r="J346" s="15"/>
      <c r="K346" s="15"/>
      <c r="L346" s="15"/>
      <c r="M346" s="15"/>
      <c r="N346" s="15"/>
      <c r="O346" s="15"/>
      <c r="P346" s="15"/>
      <c r="Q346" s="15"/>
      <c r="R346" s="15"/>
      <c r="S346" s="15"/>
      <c r="T346" s="15"/>
    </row>
    <row r="347" spans="1:20" s="14" customFormat="1" ht="15" customHeight="1">
      <c r="A347" s="21"/>
      <c r="B347" s="22"/>
      <c r="C347" s="23"/>
      <c r="D347" s="24"/>
      <c r="E347" s="23"/>
      <c r="F347" s="1082"/>
      <c r="H347" s="15"/>
      <c r="I347" s="15"/>
      <c r="J347" s="15"/>
      <c r="K347" s="15"/>
      <c r="L347" s="15"/>
      <c r="M347" s="15"/>
      <c r="N347" s="15"/>
      <c r="O347" s="15"/>
      <c r="P347" s="15"/>
      <c r="Q347" s="15"/>
      <c r="R347" s="15"/>
      <c r="S347" s="15"/>
      <c r="T347" s="15"/>
    </row>
    <row r="348" spans="1:20" s="14" customFormat="1" ht="15" customHeight="1">
      <c r="A348" s="21"/>
      <c r="B348" s="22"/>
      <c r="C348" s="23"/>
      <c r="D348" s="24"/>
      <c r="E348" s="23"/>
      <c r="F348" s="1082"/>
      <c r="H348" s="15"/>
      <c r="I348" s="15"/>
      <c r="J348" s="15"/>
      <c r="K348" s="15"/>
      <c r="L348" s="15"/>
      <c r="M348" s="15"/>
      <c r="N348" s="15"/>
      <c r="O348" s="15"/>
      <c r="P348" s="15"/>
      <c r="Q348" s="15"/>
      <c r="R348" s="15"/>
      <c r="S348" s="15"/>
      <c r="T348" s="15"/>
    </row>
    <row r="349" spans="1:20" s="14" customFormat="1" ht="15" customHeight="1">
      <c r="A349" s="21"/>
      <c r="B349" s="22"/>
      <c r="C349" s="23"/>
      <c r="D349" s="24"/>
      <c r="E349" s="23"/>
      <c r="F349" s="1082"/>
      <c r="H349" s="15"/>
      <c r="I349" s="15"/>
      <c r="J349" s="15"/>
      <c r="K349" s="15"/>
      <c r="L349" s="15"/>
      <c r="M349" s="15"/>
      <c r="N349" s="15"/>
      <c r="O349" s="15"/>
      <c r="P349" s="15"/>
      <c r="Q349" s="15"/>
      <c r="R349" s="15"/>
      <c r="S349" s="15"/>
      <c r="T349" s="15"/>
    </row>
    <row r="350" spans="1:20" s="14" customFormat="1" ht="15" customHeight="1">
      <c r="A350" s="21"/>
      <c r="B350" s="22"/>
      <c r="C350" s="23"/>
      <c r="D350" s="24"/>
      <c r="E350" s="23"/>
      <c r="F350" s="1082"/>
      <c r="H350" s="15"/>
      <c r="I350" s="15"/>
      <c r="J350" s="15"/>
      <c r="K350" s="15"/>
      <c r="L350" s="15"/>
      <c r="M350" s="15"/>
      <c r="N350" s="15"/>
      <c r="O350" s="15"/>
      <c r="P350" s="15"/>
      <c r="Q350" s="15"/>
      <c r="R350" s="15"/>
      <c r="S350" s="15"/>
      <c r="T350" s="15"/>
    </row>
    <row r="351" spans="1:20" s="14" customFormat="1" ht="15" customHeight="1">
      <c r="A351" s="21"/>
      <c r="B351" s="22"/>
      <c r="C351" s="23"/>
      <c r="D351" s="24"/>
      <c r="E351" s="23"/>
      <c r="F351" s="1082"/>
      <c r="H351" s="15"/>
      <c r="I351" s="15"/>
      <c r="J351" s="15"/>
      <c r="K351" s="15"/>
      <c r="L351" s="15"/>
      <c r="M351" s="15"/>
      <c r="N351" s="15"/>
      <c r="O351" s="15"/>
      <c r="P351" s="15"/>
      <c r="Q351" s="15"/>
      <c r="R351" s="15"/>
      <c r="S351" s="15"/>
      <c r="T351" s="15"/>
    </row>
    <row r="352" spans="1:20" s="14" customFormat="1" ht="15" customHeight="1">
      <c r="A352" s="21"/>
      <c r="B352" s="22"/>
      <c r="C352" s="23"/>
      <c r="D352" s="24"/>
      <c r="E352" s="23"/>
      <c r="F352" s="1082"/>
      <c r="H352" s="15"/>
      <c r="I352" s="15"/>
      <c r="J352" s="15"/>
      <c r="K352" s="15"/>
      <c r="L352" s="15"/>
      <c r="M352" s="15"/>
      <c r="N352" s="15"/>
      <c r="O352" s="15"/>
      <c r="P352" s="15"/>
      <c r="Q352" s="15"/>
      <c r="R352" s="15"/>
      <c r="S352" s="15"/>
      <c r="T352" s="15"/>
    </row>
    <row r="353" spans="1:20" s="14" customFormat="1" ht="15" customHeight="1">
      <c r="A353" s="21"/>
      <c r="B353" s="22"/>
      <c r="C353" s="23"/>
      <c r="D353" s="24"/>
      <c r="E353" s="23"/>
      <c r="F353" s="1082"/>
      <c r="H353" s="15"/>
      <c r="I353" s="15"/>
      <c r="J353" s="15"/>
      <c r="K353" s="15"/>
      <c r="L353" s="15"/>
      <c r="M353" s="15"/>
      <c r="N353" s="15"/>
      <c r="O353" s="15"/>
      <c r="P353" s="15"/>
      <c r="Q353" s="15"/>
      <c r="R353" s="15"/>
      <c r="S353" s="15"/>
      <c r="T353" s="15"/>
    </row>
    <row r="354" spans="1:20" s="14" customFormat="1" ht="15" customHeight="1">
      <c r="A354" s="21"/>
      <c r="B354" s="22"/>
      <c r="C354" s="23"/>
      <c r="D354" s="24"/>
      <c r="E354" s="23"/>
      <c r="F354" s="1082"/>
      <c r="H354" s="15"/>
      <c r="I354" s="15"/>
      <c r="J354" s="15"/>
      <c r="K354" s="15"/>
      <c r="L354" s="15"/>
      <c r="M354" s="15"/>
      <c r="N354" s="15"/>
      <c r="O354" s="15"/>
      <c r="P354" s="15"/>
      <c r="Q354" s="15"/>
      <c r="R354" s="15"/>
      <c r="S354" s="15"/>
      <c r="T354" s="15"/>
    </row>
    <row r="355" spans="1:20" s="14" customFormat="1" ht="15" customHeight="1">
      <c r="A355" s="21"/>
      <c r="B355" s="22"/>
      <c r="C355" s="23"/>
      <c r="D355" s="24"/>
      <c r="E355" s="23"/>
      <c r="F355" s="1082"/>
      <c r="H355" s="15"/>
      <c r="I355" s="15"/>
      <c r="J355" s="15"/>
      <c r="K355" s="15"/>
      <c r="L355" s="15"/>
      <c r="M355" s="15"/>
      <c r="N355" s="15"/>
      <c r="O355" s="15"/>
      <c r="P355" s="15"/>
      <c r="Q355" s="15"/>
      <c r="R355" s="15"/>
      <c r="S355" s="15"/>
      <c r="T355" s="15"/>
    </row>
    <row r="356" spans="1:20" s="14" customFormat="1" ht="15" customHeight="1">
      <c r="A356" s="21"/>
      <c r="B356" s="22"/>
      <c r="C356" s="23"/>
      <c r="D356" s="24"/>
      <c r="E356" s="23"/>
      <c r="F356" s="1082"/>
      <c r="H356" s="15"/>
      <c r="I356" s="15"/>
      <c r="J356" s="15"/>
      <c r="K356" s="15"/>
      <c r="L356" s="15"/>
      <c r="M356" s="15"/>
      <c r="N356" s="15"/>
      <c r="O356" s="15"/>
      <c r="P356" s="15"/>
      <c r="Q356" s="15"/>
      <c r="R356" s="15"/>
      <c r="S356" s="15"/>
      <c r="T356" s="15"/>
    </row>
    <row r="357" spans="1:20" s="14" customFormat="1" ht="15" customHeight="1">
      <c r="A357" s="21"/>
      <c r="B357" s="22"/>
      <c r="C357" s="23"/>
      <c r="D357" s="24"/>
      <c r="E357" s="23"/>
      <c r="F357" s="1082"/>
      <c r="H357" s="15"/>
      <c r="I357" s="15"/>
      <c r="J357" s="15"/>
      <c r="K357" s="15"/>
      <c r="L357" s="15"/>
      <c r="M357" s="15"/>
      <c r="N357" s="15"/>
      <c r="O357" s="15"/>
      <c r="P357" s="15"/>
      <c r="Q357" s="15"/>
      <c r="R357" s="15"/>
      <c r="S357" s="15"/>
      <c r="T357" s="15"/>
    </row>
    <row r="358" spans="1:20" s="14" customFormat="1" ht="15" customHeight="1">
      <c r="A358" s="21"/>
      <c r="B358" s="22"/>
      <c r="C358" s="23"/>
      <c r="D358" s="24"/>
      <c r="E358" s="23"/>
      <c r="F358" s="1082"/>
      <c r="H358" s="15"/>
      <c r="I358" s="15"/>
      <c r="J358" s="15"/>
      <c r="K358" s="15"/>
      <c r="L358" s="15"/>
      <c r="M358" s="15"/>
      <c r="N358" s="15"/>
      <c r="O358" s="15"/>
      <c r="P358" s="15"/>
      <c r="Q358" s="15"/>
      <c r="R358" s="15"/>
      <c r="S358" s="15"/>
      <c r="T358" s="15"/>
    </row>
    <row r="359" spans="1:20" s="14" customFormat="1" ht="15" customHeight="1">
      <c r="A359" s="21"/>
      <c r="B359" s="22"/>
      <c r="C359" s="23"/>
      <c r="D359" s="24"/>
      <c r="E359" s="23"/>
      <c r="F359" s="1082"/>
      <c r="H359" s="15"/>
      <c r="I359" s="15"/>
      <c r="J359" s="15"/>
      <c r="K359" s="15"/>
      <c r="L359" s="15"/>
      <c r="M359" s="15"/>
      <c r="N359" s="15"/>
      <c r="O359" s="15"/>
      <c r="P359" s="15"/>
      <c r="Q359" s="15"/>
      <c r="R359" s="15"/>
      <c r="S359" s="15"/>
      <c r="T359" s="15"/>
    </row>
    <row r="360" spans="1:20" s="14" customFormat="1" ht="15" customHeight="1">
      <c r="A360" s="21"/>
      <c r="B360" s="22"/>
      <c r="C360" s="23"/>
      <c r="D360" s="24"/>
      <c r="E360" s="23"/>
      <c r="F360" s="1082"/>
      <c r="H360" s="15"/>
      <c r="I360" s="15"/>
      <c r="J360" s="15"/>
      <c r="K360" s="15"/>
      <c r="L360" s="15"/>
      <c r="M360" s="15"/>
      <c r="N360" s="15"/>
      <c r="O360" s="15"/>
      <c r="P360" s="15"/>
      <c r="Q360" s="15"/>
      <c r="R360" s="15"/>
      <c r="S360" s="15"/>
      <c r="T360" s="15"/>
    </row>
    <row r="361" spans="1:20" s="14" customFormat="1" ht="15" customHeight="1">
      <c r="A361" s="21"/>
      <c r="B361" s="22"/>
      <c r="C361" s="23"/>
      <c r="D361" s="24"/>
      <c r="E361" s="23"/>
      <c r="F361" s="1082"/>
      <c r="H361" s="15"/>
      <c r="I361" s="15"/>
      <c r="J361" s="15"/>
      <c r="K361" s="15"/>
      <c r="L361" s="15"/>
      <c r="M361" s="15"/>
      <c r="N361" s="15"/>
      <c r="O361" s="15"/>
      <c r="P361" s="15"/>
      <c r="Q361" s="15"/>
      <c r="R361" s="15"/>
      <c r="S361" s="15"/>
      <c r="T361" s="15"/>
    </row>
    <row r="362" spans="1:20" s="14" customFormat="1" ht="15" customHeight="1">
      <c r="A362" s="21"/>
      <c r="B362" s="22"/>
      <c r="C362" s="23"/>
      <c r="D362" s="24"/>
      <c r="E362" s="23"/>
      <c r="F362" s="1082"/>
      <c r="H362" s="15"/>
      <c r="I362" s="15"/>
      <c r="J362" s="15"/>
      <c r="K362" s="15"/>
      <c r="L362" s="15"/>
      <c r="M362" s="15"/>
      <c r="N362" s="15"/>
      <c r="O362" s="15"/>
      <c r="P362" s="15"/>
      <c r="Q362" s="15"/>
      <c r="R362" s="15"/>
      <c r="S362" s="15"/>
      <c r="T362" s="15"/>
    </row>
    <row r="363" spans="1:20" s="14" customFormat="1" ht="15" customHeight="1">
      <c r="A363" s="21"/>
      <c r="B363" s="22"/>
      <c r="C363" s="23"/>
      <c r="D363" s="24"/>
      <c r="E363" s="23"/>
      <c r="F363" s="1082"/>
      <c r="H363" s="15"/>
      <c r="I363" s="15"/>
      <c r="J363" s="15"/>
      <c r="K363" s="15"/>
      <c r="L363" s="15"/>
      <c r="M363" s="15"/>
      <c r="N363" s="15"/>
      <c r="O363" s="15"/>
      <c r="P363" s="15"/>
      <c r="Q363" s="15"/>
      <c r="R363" s="15"/>
      <c r="S363" s="15"/>
      <c r="T363" s="15"/>
    </row>
    <row r="364" spans="1:20" s="14" customFormat="1" ht="15" customHeight="1">
      <c r="A364" s="21"/>
      <c r="B364" s="22"/>
      <c r="C364" s="23"/>
      <c r="D364" s="24"/>
      <c r="E364" s="23"/>
      <c r="F364" s="1082"/>
      <c r="H364" s="15"/>
      <c r="I364" s="15"/>
      <c r="J364" s="15"/>
      <c r="K364" s="15"/>
      <c r="L364" s="15"/>
      <c r="M364" s="15"/>
      <c r="N364" s="15"/>
      <c r="O364" s="15"/>
      <c r="P364" s="15"/>
      <c r="Q364" s="15"/>
      <c r="R364" s="15"/>
      <c r="S364" s="15"/>
      <c r="T364" s="15"/>
    </row>
    <row r="365" spans="1:20" s="14" customFormat="1" ht="15" customHeight="1">
      <c r="A365" s="21"/>
      <c r="B365" s="22"/>
      <c r="C365" s="23"/>
      <c r="D365" s="24"/>
      <c r="E365" s="23"/>
      <c r="F365" s="1082"/>
      <c r="H365" s="15"/>
      <c r="I365" s="15"/>
      <c r="J365" s="15"/>
      <c r="K365" s="15"/>
      <c r="L365" s="15"/>
      <c r="M365" s="15"/>
      <c r="N365" s="15"/>
      <c r="O365" s="15"/>
      <c r="P365" s="15"/>
      <c r="Q365" s="15"/>
      <c r="R365" s="15"/>
      <c r="S365" s="15"/>
      <c r="T365" s="15"/>
    </row>
    <row r="366" spans="1:20" s="14" customFormat="1" ht="15" customHeight="1">
      <c r="A366" s="21"/>
      <c r="B366" s="22"/>
      <c r="C366" s="23"/>
      <c r="D366" s="24"/>
      <c r="E366" s="23"/>
      <c r="F366" s="1082"/>
      <c r="H366" s="15"/>
      <c r="I366" s="15"/>
      <c r="J366" s="15"/>
      <c r="K366" s="15"/>
      <c r="L366" s="15"/>
      <c r="M366" s="15"/>
      <c r="N366" s="15"/>
      <c r="O366" s="15"/>
      <c r="P366" s="15"/>
      <c r="Q366" s="15"/>
      <c r="R366" s="15"/>
      <c r="S366" s="15"/>
      <c r="T366" s="15"/>
    </row>
    <row r="367" spans="1:20" s="14" customFormat="1" ht="15" customHeight="1">
      <c r="A367" s="21"/>
      <c r="B367" s="22"/>
      <c r="C367" s="23"/>
      <c r="D367" s="24"/>
      <c r="E367" s="23"/>
      <c r="F367" s="1082"/>
      <c r="H367" s="15"/>
      <c r="I367" s="15"/>
      <c r="J367" s="15"/>
      <c r="K367" s="15"/>
      <c r="L367" s="15"/>
      <c r="M367" s="15"/>
      <c r="N367" s="15"/>
      <c r="O367" s="15"/>
      <c r="P367" s="15"/>
      <c r="Q367" s="15"/>
      <c r="R367" s="15"/>
      <c r="S367" s="15"/>
      <c r="T367" s="15"/>
    </row>
    <row r="368" spans="1:20" s="14" customFormat="1" ht="15" customHeight="1">
      <c r="A368" s="21"/>
      <c r="B368" s="22"/>
      <c r="C368" s="23"/>
      <c r="D368" s="24"/>
      <c r="E368" s="23"/>
      <c r="F368" s="1082"/>
      <c r="H368" s="15"/>
      <c r="I368" s="15"/>
      <c r="J368" s="15"/>
      <c r="K368" s="15"/>
      <c r="L368" s="15"/>
      <c r="M368" s="15"/>
      <c r="N368" s="15"/>
      <c r="O368" s="15"/>
      <c r="P368" s="15"/>
      <c r="Q368" s="15"/>
      <c r="R368" s="15"/>
      <c r="S368" s="15"/>
      <c r="T368" s="15"/>
    </row>
    <row r="369" spans="1:20" s="14" customFormat="1" ht="15" customHeight="1">
      <c r="A369" s="21"/>
      <c r="B369" s="22"/>
      <c r="C369" s="23"/>
      <c r="D369" s="24"/>
      <c r="E369" s="23"/>
      <c r="F369" s="1082"/>
      <c r="H369" s="15"/>
      <c r="I369" s="15"/>
      <c r="J369" s="15"/>
      <c r="K369" s="15"/>
      <c r="L369" s="15"/>
      <c r="M369" s="15"/>
      <c r="N369" s="15"/>
      <c r="O369" s="15"/>
      <c r="P369" s="15"/>
      <c r="Q369" s="15"/>
      <c r="R369" s="15"/>
      <c r="S369" s="15"/>
      <c r="T369" s="15"/>
    </row>
    <row r="370" spans="1:20" s="14" customFormat="1" ht="15" customHeight="1">
      <c r="A370" s="21"/>
      <c r="B370" s="22"/>
      <c r="C370" s="23"/>
      <c r="D370" s="24"/>
      <c r="E370" s="23"/>
      <c r="F370" s="1082"/>
      <c r="H370" s="15"/>
      <c r="I370" s="15"/>
      <c r="J370" s="15"/>
      <c r="K370" s="15"/>
      <c r="L370" s="15"/>
      <c r="M370" s="15"/>
      <c r="N370" s="15"/>
      <c r="O370" s="15"/>
      <c r="P370" s="15"/>
      <c r="Q370" s="15"/>
      <c r="R370" s="15"/>
      <c r="S370" s="15"/>
      <c r="T370" s="15"/>
    </row>
    <row r="371" spans="1:20" s="14" customFormat="1" ht="15" customHeight="1">
      <c r="A371" s="21"/>
      <c r="B371" s="22"/>
      <c r="C371" s="23"/>
      <c r="D371" s="24"/>
      <c r="E371" s="23"/>
      <c r="F371" s="1082"/>
      <c r="H371" s="15"/>
      <c r="I371" s="15"/>
      <c r="J371" s="15"/>
      <c r="K371" s="15"/>
      <c r="L371" s="15"/>
      <c r="M371" s="15"/>
      <c r="N371" s="15"/>
      <c r="O371" s="15"/>
      <c r="P371" s="15"/>
      <c r="Q371" s="15"/>
      <c r="R371" s="15"/>
      <c r="S371" s="15"/>
      <c r="T371" s="15"/>
    </row>
    <row r="372" spans="1:20" s="14" customFormat="1" ht="15" customHeight="1">
      <c r="A372" s="21"/>
      <c r="B372" s="22"/>
      <c r="C372" s="23"/>
      <c r="D372" s="24"/>
      <c r="E372" s="23"/>
      <c r="F372" s="1082"/>
      <c r="H372" s="15"/>
      <c r="I372" s="15"/>
      <c r="J372" s="15"/>
      <c r="K372" s="15"/>
      <c r="L372" s="15"/>
      <c r="M372" s="15"/>
      <c r="N372" s="15"/>
      <c r="O372" s="15"/>
      <c r="P372" s="15"/>
      <c r="Q372" s="15"/>
      <c r="R372" s="15"/>
      <c r="S372" s="15"/>
      <c r="T372" s="15"/>
    </row>
    <row r="373" spans="1:20" s="14" customFormat="1" ht="15" customHeight="1">
      <c r="A373" s="21"/>
      <c r="B373" s="22"/>
      <c r="C373" s="23"/>
      <c r="D373" s="24"/>
      <c r="E373" s="23"/>
      <c r="F373" s="1082"/>
      <c r="H373" s="15"/>
      <c r="I373" s="15"/>
      <c r="J373" s="15"/>
      <c r="K373" s="15"/>
      <c r="L373" s="15"/>
      <c r="M373" s="15"/>
      <c r="N373" s="15"/>
      <c r="O373" s="15"/>
      <c r="P373" s="15"/>
      <c r="Q373" s="15"/>
      <c r="R373" s="15"/>
      <c r="S373" s="15"/>
      <c r="T373" s="15"/>
    </row>
    <row r="374" spans="1:20" s="14" customFormat="1" ht="15" customHeight="1">
      <c r="A374" s="21"/>
      <c r="B374" s="22"/>
      <c r="C374" s="23"/>
      <c r="D374" s="24"/>
      <c r="E374" s="23"/>
      <c r="F374" s="1082"/>
      <c r="H374" s="15"/>
      <c r="I374" s="15"/>
      <c r="J374" s="15"/>
      <c r="K374" s="15"/>
      <c r="L374" s="15"/>
      <c r="M374" s="15"/>
      <c r="N374" s="15"/>
      <c r="O374" s="15"/>
      <c r="P374" s="15"/>
      <c r="Q374" s="15"/>
      <c r="R374" s="15"/>
      <c r="S374" s="15"/>
      <c r="T374" s="15"/>
    </row>
    <row r="375" spans="1:20" s="14" customFormat="1" ht="15" customHeight="1">
      <c r="A375" s="21"/>
      <c r="B375" s="22"/>
      <c r="C375" s="23"/>
      <c r="D375" s="24"/>
      <c r="E375" s="23"/>
      <c r="F375" s="1082"/>
      <c r="H375" s="15"/>
      <c r="I375" s="15"/>
      <c r="J375" s="15"/>
      <c r="K375" s="15"/>
      <c r="L375" s="15"/>
      <c r="M375" s="15"/>
      <c r="N375" s="15"/>
      <c r="O375" s="15"/>
      <c r="P375" s="15"/>
      <c r="Q375" s="15"/>
      <c r="R375" s="15"/>
      <c r="S375" s="15"/>
      <c r="T375" s="15"/>
    </row>
    <row r="376" spans="1:20" s="14" customFormat="1" ht="15" customHeight="1">
      <c r="A376" s="21"/>
      <c r="B376" s="22"/>
      <c r="C376" s="23"/>
      <c r="D376" s="24"/>
      <c r="E376" s="23"/>
      <c r="F376" s="1082"/>
      <c r="H376" s="15"/>
      <c r="I376" s="15"/>
      <c r="J376" s="15"/>
      <c r="K376" s="15"/>
      <c r="L376" s="15"/>
      <c r="M376" s="15"/>
      <c r="N376" s="15"/>
      <c r="O376" s="15"/>
      <c r="P376" s="15"/>
      <c r="Q376" s="15"/>
      <c r="R376" s="15"/>
      <c r="S376" s="15"/>
      <c r="T376" s="15"/>
    </row>
    <row r="377" spans="1:20" s="14" customFormat="1" ht="15" customHeight="1">
      <c r="A377" s="21"/>
      <c r="B377" s="22"/>
      <c r="C377" s="23"/>
      <c r="D377" s="24"/>
      <c r="E377" s="23"/>
      <c r="F377" s="1082"/>
      <c r="H377" s="15"/>
      <c r="I377" s="15"/>
      <c r="J377" s="15"/>
      <c r="K377" s="15"/>
      <c r="L377" s="15"/>
      <c r="M377" s="15"/>
      <c r="N377" s="15"/>
      <c r="O377" s="15"/>
      <c r="P377" s="15"/>
      <c r="Q377" s="15"/>
      <c r="R377" s="15"/>
      <c r="S377" s="15"/>
      <c r="T377" s="15"/>
    </row>
    <row r="378" spans="1:20" s="14" customFormat="1" ht="15" customHeight="1">
      <c r="A378" s="21"/>
      <c r="B378" s="22"/>
      <c r="C378" s="23"/>
      <c r="D378" s="24"/>
      <c r="E378" s="23"/>
      <c r="F378" s="1082"/>
      <c r="H378" s="15"/>
      <c r="I378" s="15"/>
      <c r="J378" s="15"/>
      <c r="K378" s="15"/>
      <c r="L378" s="15"/>
      <c r="M378" s="15"/>
      <c r="N378" s="15"/>
      <c r="O378" s="15"/>
      <c r="P378" s="15"/>
      <c r="Q378" s="15"/>
      <c r="R378" s="15"/>
      <c r="S378" s="15"/>
      <c r="T378" s="15"/>
    </row>
    <row r="379" spans="1:20" s="14" customFormat="1" ht="15" customHeight="1">
      <c r="A379" s="21"/>
      <c r="B379" s="22"/>
      <c r="C379" s="23"/>
      <c r="D379" s="24"/>
      <c r="E379" s="23"/>
      <c r="F379" s="1082"/>
      <c r="H379" s="15"/>
      <c r="I379" s="15"/>
      <c r="J379" s="15"/>
      <c r="K379" s="15"/>
      <c r="L379" s="15"/>
      <c r="M379" s="15"/>
      <c r="N379" s="15"/>
      <c r="O379" s="15"/>
      <c r="P379" s="15"/>
      <c r="Q379" s="15"/>
      <c r="R379" s="15"/>
      <c r="S379" s="15"/>
      <c r="T379" s="15"/>
    </row>
    <row r="380" spans="1:20" s="14" customFormat="1" ht="15" customHeight="1">
      <c r="A380" s="21"/>
      <c r="B380" s="22"/>
      <c r="C380" s="23"/>
      <c r="D380" s="24"/>
      <c r="E380" s="23"/>
      <c r="F380" s="1082"/>
      <c r="H380" s="15"/>
      <c r="I380" s="15"/>
      <c r="J380" s="15"/>
      <c r="K380" s="15"/>
      <c r="L380" s="15"/>
      <c r="M380" s="15"/>
      <c r="N380" s="15"/>
      <c r="O380" s="15"/>
      <c r="P380" s="15"/>
      <c r="Q380" s="15"/>
      <c r="R380" s="15"/>
      <c r="S380" s="15"/>
      <c r="T380" s="15"/>
    </row>
    <row r="381" spans="1:20" s="14" customFormat="1" ht="15" customHeight="1">
      <c r="A381" s="21"/>
      <c r="B381" s="22"/>
      <c r="C381" s="23"/>
      <c r="D381" s="24"/>
      <c r="E381" s="23"/>
      <c r="F381" s="1082"/>
      <c r="H381" s="15"/>
      <c r="I381" s="15"/>
      <c r="J381" s="15"/>
      <c r="K381" s="15"/>
      <c r="L381" s="15"/>
      <c r="M381" s="15"/>
      <c r="N381" s="15"/>
      <c r="O381" s="15"/>
      <c r="P381" s="15"/>
      <c r="Q381" s="15"/>
      <c r="R381" s="15"/>
      <c r="S381" s="15"/>
      <c r="T381" s="15"/>
    </row>
    <row r="382" spans="1:20" s="14" customFormat="1" ht="15" customHeight="1">
      <c r="A382" s="21"/>
      <c r="B382" s="22"/>
      <c r="C382" s="23"/>
      <c r="D382" s="24"/>
      <c r="E382" s="23"/>
      <c r="F382" s="1082"/>
      <c r="H382" s="15"/>
      <c r="I382" s="15"/>
      <c r="J382" s="15"/>
      <c r="K382" s="15"/>
      <c r="L382" s="15"/>
      <c r="M382" s="15"/>
      <c r="N382" s="15"/>
      <c r="O382" s="15"/>
      <c r="P382" s="15"/>
      <c r="Q382" s="15"/>
      <c r="R382" s="15"/>
      <c r="S382" s="15"/>
      <c r="T382" s="15"/>
    </row>
    <row r="383" spans="1:20" s="14" customFormat="1" ht="15" customHeight="1">
      <c r="A383" s="21"/>
      <c r="B383" s="22"/>
      <c r="C383" s="23"/>
      <c r="D383" s="24"/>
      <c r="E383" s="23"/>
      <c r="F383" s="1082"/>
      <c r="H383" s="15"/>
      <c r="I383" s="15"/>
      <c r="J383" s="15"/>
      <c r="K383" s="15"/>
      <c r="L383" s="15"/>
      <c r="M383" s="15"/>
      <c r="N383" s="15"/>
      <c r="O383" s="15"/>
      <c r="P383" s="15"/>
      <c r="Q383" s="15"/>
      <c r="R383" s="15"/>
      <c r="S383" s="15"/>
      <c r="T383" s="15"/>
    </row>
    <row r="384" spans="1:20" s="14" customFormat="1" ht="15" customHeight="1">
      <c r="A384" s="21"/>
      <c r="B384" s="22"/>
      <c r="C384" s="23"/>
      <c r="D384" s="24"/>
      <c r="E384" s="23"/>
      <c r="F384" s="1082"/>
      <c r="H384" s="15"/>
      <c r="I384" s="15"/>
      <c r="J384" s="15"/>
      <c r="K384" s="15"/>
      <c r="L384" s="15"/>
      <c r="M384" s="15"/>
      <c r="N384" s="15"/>
      <c r="O384" s="15"/>
      <c r="P384" s="15"/>
      <c r="Q384" s="15"/>
      <c r="R384" s="15"/>
      <c r="S384" s="15"/>
      <c r="T384" s="15"/>
    </row>
    <row r="385" spans="1:20" s="14" customFormat="1" ht="15" customHeight="1">
      <c r="A385" s="21"/>
      <c r="B385" s="22"/>
      <c r="C385" s="23"/>
      <c r="D385" s="24"/>
      <c r="E385" s="23"/>
      <c r="F385" s="1082"/>
      <c r="H385" s="15"/>
      <c r="I385" s="15"/>
      <c r="J385" s="15"/>
      <c r="K385" s="15"/>
      <c r="L385" s="15"/>
      <c r="M385" s="15"/>
      <c r="N385" s="15"/>
      <c r="O385" s="15"/>
      <c r="P385" s="15"/>
      <c r="Q385" s="15"/>
      <c r="R385" s="15"/>
      <c r="S385" s="15"/>
      <c r="T385" s="15"/>
    </row>
    <row r="386" spans="1:20" s="14" customFormat="1" ht="15" customHeight="1">
      <c r="A386" s="21"/>
      <c r="B386" s="22"/>
      <c r="C386" s="23"/>
      <c r="D386" s="24"/>
      <c r="E386" s="23"/>
      <c r="F386" s="1082"/>
      <c r="H386" s="15"/>
      <c r="I386" s="15"/>
      <c r="J386" s="15"/>
      <c r="K386" s="15"/>
      <c r="L386" s="15"/>
      <c r="M386" s="15"/>
      <c r="N386" s="15"/>
      <c r="O386" s="15"/>
      <c r="P386" s="15"/>
      <c r="Q386" s="15"/>
      <c r="R386" s="15"/>
      <c r="S386" s="15"/>
      <c r="T386" s="15"/>
    </row>
    <row r="387" spans="1:20" s="14" customFormat="1" ht="15" customHeight="1">
      <c r="A387" s="21"/>
      <c r="B387" s="22"/>
      <c r="C387" s="23"/>
      <c r="D387" s="24"/>
      <c r="E387" s="23"/>
      <c r="F387" s="1082"/>
      <c r="H387" s="15"/>
      <c r="I387" s="15"/>
      <c r="J387" s="15"/>
      <c r="K387" s="15"/>
      <c r="L387" s="15"/>
      <c r="M387" s="15"/>
      <c r="N387" s="15"/>
      <c r="O387" s="15"/>
      <c r="P387" s="15"/>
      <c r="Q387" s="15"/>
      <c r="R387" s="15"/>
      <c r="S387" s="15"/>
      <c r="T387" s="15"/>
    </row>
    <row r="388" spans="1:20" s="14" customFormat="1" ht="15" customHeight="1">
      <c r="A388" s="21"/>
      <c r="B388" s="22"/>
      <c r="C388" s="23"/>
      <c r="D388" s="24"/>
      <c r="E388" s="23"/>
      <c r="F388" s="1082"/>
      <c r="H388" s="15"/>
      <c r="I388" s="15"/>
      <c r="J388" s="15"/>
      <c r="K388" s="15"/>
      <c r="L388" s="15"/>
      <c r="M388" s="15"/>
      <c r="N388" s="15"/>
      <c r="O388" s="15"/>
      <c r="P388" s="15"/>
      <c r="Q388" s="15"/>
      <c r="R388" s="15"/>
      <c r="S388" s="15"/>
      <c r="T388" s="15"/>
    </row>
    <row r="389" spans="1:20" s="14" customFormat="1" ht="15" customHeight="1">
      <c r="A389" s="21"/>
      <c r="B389" s="22"/>
      <c r="C389" s="23"/>
      <c r="D389" s="24"/>
      <c r="E389" s="23"/>
      <c r="F389" s="1082"/>
      <c r="H389" s="15"/>
      <c r="I389" s="15"/>
      <c r="J389" s="15"/>
      <c r="K389" s="15"/>
      <c r="L389" s="15"/>
      <c r="M389" s="15"/>
      <c r="N389" s="15"/>
      <c r="O389" s="15"/>
      <c r="P389" s="15"/>
      <c r="Q389" s="15"/>
      <c r="R389" s="15"/>
      <c r="S389" s="15"/>
      <c r="T389" s="15"/>
    </row>
    <row r="390" spans="1:20" s="14" customFormat="1" ht="15" customHeight="1">
      <c r="A390" s="21"/>
      <c r="B390" s="22"/>
      <c r="C390" s="23"/>
      <c r="D390" s="24"/>
      <c r="E390" s="23"/>
      <c r="F390" s="1082"/>
      <c r="H390" s="15"/>
      <c r="I390" s="15"/>
      <c r="J390" s="15"/>
      <c r="K390" s="15"/>
      <c r="L390" s="15"/>
      <c r="M390" s="15"/>
      <c r="N390" s="15"/>
      <c r="O390" s="15"/>
      <c r="P390" s="15"/>
      <c r="Q390" s="15"/>
      <c r="R390" s="15"/>
      <c r="S390" s="15"/>
      <c r="T390" s="15"/>
    </row>
    <row r="391" spans="1:20" s="14" customFormat="1" ht="15" customHeight="1">
      <c r="A391" s="21"/>
      <c r="B391" s="22"/>
      <c r="C391" s="23"/>
      <c r="D391" s="24"/>
      <c r="E391" s="23"/>
      <c r="F391" s="1082"/>
      <c r="H391" s="15"/>
      <c r="I391" s="15"/>
      <c r="J391" s="15"/>
      <c r="K391" s="15"/>
      <c r="L391" s="15"/>
      <c r="M391" s="15"/>
      <c r="N391" s="15"/>
      <c r="O391" s="15"/>
      <c r="P391" s="15"/>
      <c r="Q391" s="15"/>
      <c r="R391" s="15"/>
      <c r="S391" s="15"/>
      <c r="T391" s="15"/>
    </row>
    <row r="392" spans="1:20" s="14" customFormat="1" ht="15" customHeight="1">
      <c r="A392" s="21"/>
      <c r="B392" s="22"/>
      <c r="C392" s="23"/>
      <c r="D392" s="24"/>
      <c r="E392" s="23"/>
      <c r="F392" s="1082"/>
      <c r="H392" s="15"/>
      <c r="I392" s="15"/>
      <c r="J392" s="15"/>
      <c r="K392" s="15"/>
      <c r="L392" s="15"/>
      <c r="M392" s="15"/>
      <c r="N392" s="15"/>
      <c r="O392" s="15"/>
      <c r="P392" s="15"/>
      <c r="Q392" s="15"/>
      <c r="R392" s="15"/>
      <c r="S392" s="15"/>
      <c r="T392" s="15"/>
    </row>
    <row r="393" spans="1:20" s="14" customFormat="1" ht="15" customHeight="1">
      <c r="A393" s="21"/>
      <c r="B393" s="22"/>
      <c r="C393" s="23"/>
      <c r="D393" s="24"/>
      <c r="E393" s="23"/>
      <c r="F393" s="1082"/>
      <c r="H393" s="15"/>
      <c r="I393" s="15"/>
      <c r="J393" s="15"/>
      <c r="K393" s="15"/>
      <c r="L393" s="15"/>
      <c r="M393" s="15"/>
      <c r="N393" s="15"/>
      <c r="O393" s="15"/>
      <c r="P393" s="15"/>
      <c r="Q393" s="15"/>
      <c r="R393" s="15"/>
      <c r="S393" s="15"/>
      <c r="T393" s="15"/>
    </row>
    <row r="394" spans="1:20" s="14" customFormat="1" ht="15" customHeight="1">
      <c r="A394" s="21"/>
      <c r="B394" s="22"/>
      <c r="C394" s="23"/>
      <c r="D394" s="24"/>
      <c r="E394" s="23"/>
      <c r="F394" s="1082"/>
      <c r="H394" s="15"/>
      <c r="I394" s="15"/>
      <c r="J394" s="15"/>
      <c r="K394" s="15"/>
      <c r="L394" s="15"/>
      <c r="M394" s="15"/>
      <c r="N394" s="15"/>
      <c r="O394" s="15"/>
      <c r="P394" s="15"/>
      <c r="Q394" s="15"/>
      <c r="R394" s="15"/>
      <c r="S394" s="15"/>
      <c r="T394" s="15"/>
    </row>
    <row r="395" spans="1:20" s="14" customFormat="1" ht="15" customHeight="1">
      <c r="A395" s="21"/>
      <c r="B395" s="22"/>
      <c r="C395" s="23"/>
      <c r="D395" s="24"/>
      <c r="E395" s="23"/>
      <c r="F395" s="1082"/>
      <c r="H395" s="15"/>
      <c r="I395" s="15"/>
      <c r="J395" s="15"/>
      <c r="K395" s="15"/>
      <c r="L395" s="15"/>
      <c r="M395" s="15"/>
      <c r="N395" s="15"/>
      <c r="O395" s="15"/>
      <c r="P395" s="15"/>
      <c r="Q395" s="15"/>
      <c r="R395" s="15"/>
      <c r="S395" s="15"/>
      <c r="T395" s="15"/>
    </row>
  </sheetData>
  <customSheetViews>
    <customSheetView guid="{58A41188-4CB9-4607-A927-9B98665919B2}" scale="107" showPageBreaks="1" printArea="1" view="pageBreakPreview" topLeftCell="B20">
      <selection activeCell="B5" sqref="A5:XFD7"/>
      <pageMargins left="0.7" right="0.7" top="0.75" bottom="0.75" header="0.3" footer="0.3"/>
      <pageSetup orientation="portrait" r:id="rId1"/>
    </customSheetView>
    <customSheetView guid="{1E933494-4ABB-4290-95BF-88ADDB331983}" scale="107" showPageBreaks="1" printArea="1" view="pageBreakPreview">
      <selection activeCell="F16" sqref="F16"/>
      <pageMargins left="0.7" right="0.7" top="0.75" bottom="0.75" header="0.3" footer="0.3"/>
      <pageSetup orientation="portrait" r:id="rId2"/>
    </customSheetView>
  </customSheetViews>
  <pageMargins left="0.7" right="0.7" top="0.75" bottom="0.75" header="0.3" footer="0.3"/>
  <pageSetup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1 Preliminaries </vt:lpstr>
      <vt:lpstr>2 Office Block</vt:lpstr>
      <vt:lpstr>3 Kitchen, Dining BLock</vt:lpstr>
      <vt:lpstr>4 security House</vt:lpstr>
      <vt:lpstr>5 Toilet Block</vt:lpstr>
      <vt:lpstr>6 WATER TANK</vt:lpstr>
      <vt:lpstr>7 Security Fences</vt:lpstr>
      <vt:lpstr>8 Guard Towers</vt:lpstr>
      <vt:lpstr>9 Street Lights</vt:lpstr>
      <vt:lpstr>10 Septic Tank</vt:lpstr>
      <vt:lpstr>11 External Works</vt:lpstr>
      <vt:lpstr>12 Accommodation</vt:lpstr>
      <vt:lpstr>Summary</vt:lpstr>
      <vt:lpstr>'1 Preliminaries '!Print_Area</vt:lpstr>
      <vt:lpstr>'11 External Works'!Print_Area</vt:lpstr>
      <vt:lpstr>'12 Accommodation'!Print_Area</vt:lpstr>
      <vt:lpstr>'2 Office Block'!Print_Area</vt:lpstr>
      <vt:lpstr>'3 Kitchen, Dining BLock'!Print_Area</vt:lpstr>
      <vt:lpstr>'4 security House'!Print_Area</vt:lpstr>
      <vt:lpstr>'5 Toilet Block'!Print_Area</vt:lpstr>
      <vt:lpstr>'6 WATER TANK'!Print_Area</vt:lpstr>
      <vt:lpstr>'7 Security Fences'!Print_Area</vt:lpstr>
      <vt:lpstr>'8 Guard Towers'!Print_Area</vt:lpstr>
      <vt:lpstr>'9 Street Lights'!Print_Area</vt:lpstr>
      <vt:lpstr>Summary!Print_Area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MUTULILI Jane</cp:lastModifiedBy>
  <cp:lastPrinted>2018-09-12T03:02:54Z</cp:lastPrinted>
  <dcterms:created xsi:type="dcterms:W3CDTF">2007-10-12T09:00:49Z</dcterms:created>
  <dcterms:modified xsi:type="dcterms:W3CDTF">2018-09-12T03:03:37Z</dcterms:modified>
</cp:coreProperties>
</file>